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state="hidden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показат'!$B$1:$B$229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показат'!$B$1:$B$229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показат'!$B$1:$B$229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показат'!$B$1:$B$229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показат'!$B$1:$B$229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показат'!$B$1:$B$229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показат'!$B$1:$B$229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показат'!$B$1:$B$229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показат'!$A$1:$I$229</definedName>
    <definedName name="_xlnm.Print_Area" localSheetId="1">'2 Раздел_уровень жизни'!$A$1:$H$30</definedName>
    <definedName name="_xlnm.Print_Area" localSheetId="3">'4 Раздел_натуральные  показат'!$A$1:$H$15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<sst xmlns="http://schemas.openxmlformats.org/spreadsheetml/2006/main" count="3035" uniqueCount="972">
  <si>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</si>
  <si>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</si>
  <si>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</si>
  <si>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</si>
  <si>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</si>
  <si>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</si>
  <si>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</si>
  <si>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</si>
  <si>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</si>
  <si>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</si>
  <si>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</si>
  <si>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</si>
  <si>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</si>
  <si>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</si>
  <si>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</si>
  <si>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</si>
  <si>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</si>
  <si>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</si>
  <si>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</si>
  <si>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</si>
  <si>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</si>
  <si>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</si>
  <si>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</si>
  <si>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</si>
  <si>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</si>
  <si>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</si>
  <si>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</si>
  <si>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</si>
  <si>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</si>
  <si>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</si>
  <si>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</si>
  <si>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</si>
  <si>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</si>
  <si>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</si>
  <si>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</si>
  <si>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</si>
  <si>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</si>
  <si>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</si>
  <si>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</si>
  <si>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</si>
  <si>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</si>
  <si>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</si>
  <si>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</si>
  <si>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</si>
  <si>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</si>
  <si>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</si>
  <si>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</si>
  <si>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</si>
  <si>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</si>
  <si>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</si>
  <si>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</si>
  <si>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</si>
  <si>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</si>
  <si>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</si>
  <si>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</si>
  <si>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</si>
  <si>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</si>
  <si>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</si>
  <si>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</si>
  <si>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</si>
  <si>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</si>
  <si>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</si>
  <si>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</si>
  <si>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</si>
  <si>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</si>
  <si>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</si>
  <si>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</si>
  <si>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</si>
  <si>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</si>
  <si>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</si>
  <si>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</si>
  <si>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</si>
  <si>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</si>
  <si>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</si>
  <si>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</si>
  <si>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</si>
  <si>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</si>
  <si>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</si>
  <si>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</si>
  <si>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</si>
  <si>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</si>
  <si>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</si>
  <si>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</si>
  <si>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</si>
  <si>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</si>
  <si>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</si>
  <si>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</si>
  <si>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</si>
  <si>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</si>
  <si>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</si>
  <si>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</si>
  <si>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</si>
  <si>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</si>
  <si>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</si>
  <si>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</si>
  <si>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</si>
  <si>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</si>
  <si>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</si>
  <si>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</si>
  <si>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</si>
  <si>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</si>
  <si>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</si>
  <si>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</si>
  <si>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</si>
  <si>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</si>
  <si>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</si>
  <si>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</si>
  <si>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</si>
  <si>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</si>
  <si>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</si>
  <si>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</si>
  <si>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</si>
  <si>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</si>
  <si>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</si>
  <si>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</si>
  <si>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</si>
  <si>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</si>
  <si>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</si>
  <si>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</si>
  <si>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</si>
  <si>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</si>
  <si>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</si>
  <si>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</si>
  <si>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</si>
  <si>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</si>
  <si>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</si>
  <si>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</si>
  <si>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</si>
  <si>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</si>
  <si>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</si>
  <si>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</si>
  <si>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</si>
  <si>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</si>
  <si>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</si>
  <si>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</si>
  <si>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</si>
  <si>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</si>
  <si>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</si>
  <si>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</si>
  <si>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</si>
  <si>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</si>
  <si>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</si>
  <si>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</si>
  <si>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</si>
  <si>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</si>
  <si>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</si>
  <si>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</si>
  <si>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</si>
  <si>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</si>
  <si>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</si>
  <si>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</si>
  <si>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</si>
  <si>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</si>
  <si>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</si>
  <si>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</si>
  <si>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</si>
  <si>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</si>
  <si>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</si>
  <si>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</si>
  <si>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</si>
  <si>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</si>
  <si>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</si>
  <si>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</si>
  <si>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</si>
  <si>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</si>
  <si>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</si>
  <si>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</si>
  <si>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</si>
  <si>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</si>
  <si>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</si>
  <si>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</si>
  <si>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</si>
  <si>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</si>
  <si>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</si>
  <si>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</si>
  <si>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</si>
  <si>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</si>
  <si>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</si>
  <si>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</si>
  <si>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</si>
  <si>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</si>
  <si>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</si>
  <si>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</si>
  <si>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</si>
  <si>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</si>
  <si>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</si>
  <si>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</si>
  <si>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</si>
  <si>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</si>
  <si>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</si>
  <si>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</si>
  <si>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</si>
  <si>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</si>
  <si>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</si>
  <si>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</si>
  <si>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</si>
  <si>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</si>
  <si>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</si>
  <si>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</si>
  <si>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</si>
  <si>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</si>
  <si>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</si>
  <si>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</si>
  <si>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</si>
  <si>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</si>
  <si>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</si>
  <si>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</si>
  <si>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</si>
  <si>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</si>
  <si>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</si>
  <si>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</si>
  <si>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</si>
  <si>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</si>
  <si>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</si>
  <si>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</si>
  <si>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</si>
  <si>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</si>
  <si>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</si>
  <si>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</si>
  <si>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</si>
  <si>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</si>
  <si>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</si>
  <si>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</si>
  <si>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</si>
  <si>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</si>
  <si>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</si>
  <si>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</si>
  <si>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</si>
  <si>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</si>
  <si>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</si>
  <si>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</si>
  <si>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</si>
  <si>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</si>
  <si>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</si>
  <si>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</si>
  <si>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</si>
  <si>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</si>
  <si>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</si>
  <si>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</si>
  <si>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</si>
  <si>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</si>
  <si>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</si>
  <si>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</si>
  <si>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</si>
  <si>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</si>
  <si>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</si>
  <si>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</si>
  <si>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</si>
  <si>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</si>
  <si>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</si>
  <si>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</si>
  <si>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</si>
  <si>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</si>
  <si>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</si>
  <si>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</si>
  <si>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</si>
  <si>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</si>
  <si>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</si>
  <si>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</si>
  <si>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</si>
  <si>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</si>
  <si>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</si>
  <si>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</si>
  <si>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</si>
  <si>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</si>
  <si>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</si>
  <si>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</si>
  <si>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</si>
  <si>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</si>
  <si>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</si>
  <si>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</si>
  <si>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</si>
  <si>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</si>
  <si>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</si>
  <si>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</si>
  <si>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</si>
  <si>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</si>
  <si>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</si>
  <si>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</si>
  <si>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</si>
  <si>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</si>
  <si>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</si>
  <si>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</si>
  <si>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</si>
  <si>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</si>
  <si>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</si>
  <si>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</si>
  <si>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</si>
  <si>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</si>
  <si>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</si>
  <si>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</si>
  <si>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</si>
  <si>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</si>
  <si>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</si>
  <si>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</si>
  <si>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</si>
  <si>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</si>
  <si>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</si>
  <si>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</si>
  <si>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</si>
  <si>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</si>
  <si>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</si>
  <si>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</si>
  <si>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</si>
  <si>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</si>
  <si>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</si>
  <si>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</si>
  <si>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</si>
  <si>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</si>
  <si>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</si>
  <si>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</si>
  <si>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</si>
  <si>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</si>
  <si>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</si>
  <si>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</si>
  <si>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</si>
  <si>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</si>
  <si>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</si>
  <si>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</si>
  <si>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</si>
  <si>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</si>
  <si>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</si>
  <si>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</si>
  <si>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</si>
  <si>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</si>
  <si>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</si>
  <si>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</si>
  <si>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</si>
  <si>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</si>
  <si>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</si>
  <si>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</si>
  <si>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</si>
  <si>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</si>
  <si>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</si>
  <si>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</si>
  <si>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</si>
  <si>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</si>
  <si>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</si>
  <si>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</si>
  <si>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</si>
  <si>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</si>
  <si>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</si>
  <si>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</si>
  <si>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</si>
  <si>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</si>
  <si>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</si>
  <si>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</si>
  <si>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</si>
  <si>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</si>
  <si>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</si>
  <si>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</si>
  <si>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</si>
  <si>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</si>
  <si>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</si>
  <si>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</si>
  <si>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</si>
  <si>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</si>
  <si>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</si>
  <si>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</si>
  <si>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</si>
  <si>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</si>
  <si>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</si>
  <si>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</si>
  <si>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</si>
  <si>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</si>
  <si>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</si>
  <si>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</si>
  <si>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</si>
  <si>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</si>
  <si>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</si>
  <si>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</si>
  <si>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</si>
  <si>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</si>
  <si>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</si>
  <si>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</si>
  <si>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</si>
  <si>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</si>
  <si>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</si>
  <si>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</si>
  <si>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</si>
  <si>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</si>
  <si>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</si>
  <si>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</si>
  <si>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</si>
  <si>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</si>
  <si>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</si>
  <si>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</si>
  <si>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</si>
  <si>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</si>
  <si>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</si>
  <si>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</si>
  <si>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</si>
  <si>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</si>
  <si>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</si>
  <si>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</si>
  <si>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</si>
  <si>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</si>
  <si>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</si>
  <si>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</si>
  <si>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</si>
  <si>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</si>
  <si>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</si>
  <si>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</si>
  <si>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</si>
  <si>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</si>
  <si>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</si>
  <si>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</si>
  <si>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</si>
  <si>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</si>
  <si>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</si>
  <si>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</si>
  <si>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</si>
  <si>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</si>
  <si>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</si>
  <si>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</si>
  <si>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</si>
  <si>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</si>
  <si>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</si>
  <si>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</si>
  <si>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</si>
  <si>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</si>
  <si>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</si>
  <si>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</si>
  <si>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</si>
  <si>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</si>
  <si>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</si>
  <si>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</si>
  <si>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</si>
  <si>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</si>
  <si>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</si>
  <si>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</si>
  <si>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</si>
  <si>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</si>
  <si>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</si>
  <si>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</si>
  <si>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</si>
  <si>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</si>
  <si>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</si>
  <si>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</si>
  <si>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</si>
  <si>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</si>
  <si>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</si>
  <si>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</si>
  <si>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</si>
  <si>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</si>
  <si>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</si>
  <si>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</si>
  <si>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</si>
  <si>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</si>
  <si>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</si>
  <si>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</si>
  <si>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</si>
  <si>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</si>
  <si>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</si>
  <si>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</si>
  <si>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</si>
  <si>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</si>
  <si>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</si>
  <si>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</si>
  <si>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</si>
  <si>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</si>
  <si>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</si>
  <si>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</si>
  <si>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</si>
  <si>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</si>
  <si>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</si>
  <si>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</si>
  <si>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</si>
  <si>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</si>
  <si>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</si>
  <si>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</si>
  <si>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</si>
  <si>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</si>
  <si>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</si>
  <si>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</si>
  <si>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</si>
  <si>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</si>
  <si>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</si>
  <si>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</si>
  <si>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</si>
  <si>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</si>
  <si>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</si>
  <si>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</si>
  <si>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</si>
  <si>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</si>
  <si>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</si>
  <si>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</si>
  <si>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</si>
  <si>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</si>
  <si>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</si>
  <si>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</si>
  <si>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</si>
  <si>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</si>
  <si>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</si>
  <si>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</si>
  <si>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</si>
  <si>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</si>
  <si>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</si>
  <si>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</si>
  <si>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</si>
  <si>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</si>
  <si>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</si>
  <si>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</si>
  <si>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</si>
  <si>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</si>
  <si>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</si>
  <si>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</si>
  <si>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</si>
  <si>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</si>
  <si>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</si>
  <si>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</si>
  <si>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</si>
  <si>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</si>
  <si>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</si>
  <si>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</si>
  <si>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</si>
  <si>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</si>
  <si>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</si>
  <si>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</si>
  <si>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</si>
  <si>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</si>
  <si>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</si>
  <si>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</si>
  <si>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</si>
  <si>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</si>
  <si>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</si>
  <si>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</si>
  <si>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</si>
  <si>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</si>
  <si>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</si>
  <si>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</si>
  <si>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</si>
  <si>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</si>
  <si>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</si>
  <si>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</si>
  <si>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</si>
  <si>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</si>
  <si>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</si>
  <si>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</si>
  <si>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</si>
  <si>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</si>
  <si>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</si>
  <si>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</si>
  <si>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</si>
  <si>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</si>
  <si>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</si>
  <si>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</si>
  <si>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</si>
  <si>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</si>
  <si>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</si>
  <si>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</si>
  <si>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</si>
  <si>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</si>
  <si>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</si>
  <si>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</si>
  <si>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</si>
  <si>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</si>
  <si>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</si>
  <si>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</si>
  <si>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</si>
  <si>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</si>
  <si>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</si>
  <si>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</si>
  <si>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</si>
  <si>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</si>
  <si>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</si>
  <si>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</si>
  <si>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</si>
  <si>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</si>
  <si>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</si>
  <si>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</si>
  <si>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</si>
  <si>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</si>
  <si>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</si>
  <si>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</si>
  <si>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</si>
  <si>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</si>
  <si>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</si>
  <si>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</si>
  <si>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</si>
  <si>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</si>
  <si>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</si>
  <si>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</si>
  <si>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</si>
  <si>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</si>
  <si>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</si>
  <si>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</si>
  <si>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</si>
  <si>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</si>
  <si>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</si>
  <si>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</si>
  <si>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</si>
  <si>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</si>
  <si>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</si>
  <si>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</si>
  <si>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</si>
  <si>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</si>
  <si>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</si>
  <si>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</si>
  <si>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</si>
  <si>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</si>
  <si>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</si>
  <si>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</si>
  <si>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</si>
  <si>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</si>
  <si>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</si>
  <si>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</si>
  <si>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</si>
  <si>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</si>
  <si>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</si>
  <si>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</si>
  <si>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</si>
  <si>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</si>
  <si>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</si>
  <si>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</si>
  <si>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</si>
  <si>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</si>
  <si>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</si>
  <si>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</si>
  <si>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</si>
  <si>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</si>
  <si>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</si>
  <si>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</si>
  <si>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</si>
  <si>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</si>
  <si>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</si>
  <si>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</si>
  <si>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</si>
  <si>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</si>
  <si>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</si>
  <si>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</si>
  <si>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</si>
  <si>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</si>
  <si>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</si>
  <si>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</si>
  <si>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</si>
  <si>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</si>
  <si>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</si>
  <si>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</si>
  <si>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</si>
  <si>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</si>
  <si>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</si>
  <si>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</si>
  <si>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</si>
  <si>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</si>
  <si>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</si>
  <si>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</si>
  <si>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</si>
  <si>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</si>
  <si>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</si>
  <si>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</si>
  <si>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</si>
  <si>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</si>
  <si>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</si>
  <si>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</si>
  <si>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</si>
  <si>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</si>
  <si>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</si>
  <si>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</si>
  <si>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</si>
  <si>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</si>
  <si>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</si>
  <si>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</si>
  <si>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</si>
  <si>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</si>
  <si>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</si>
  <si>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</si>
  <si>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</si>
  <si>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</si>
  <si>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</si>
  <si>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</si>
  <si>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</si>
  <si>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</si>
  <si>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</si>
  <si>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</si>
  <si>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</si>
  <si>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</si>
  <si>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</si>
  <si>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</si>
  <si>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</si>
  <si>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</si>
  <si>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</si>
  <si>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</si>
  <si>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</si>
  <si>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</si>
  <si>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</si>
  <si>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</si>
  <si>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</si>
  <si>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</si>
  <si>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</si>
  <si>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</si>
  <si>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</si>
  <si>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</si>
  <si>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</si>
  <si>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</si>
  <si>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</si>
  <si>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</si>
  <si>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</si>
  <si>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</si>
  <si>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</si>
  <si>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</si>
  <si>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</si>
  <si>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</si>
  <si>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</si>
  <si>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</si>
  <si>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</si>
  <si>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</si>
  <si>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</si>
  <si>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</si>
  <si>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</si>
  <si>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</si>
  <si>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</si>
  <si>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</si>
  <si>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</si>
  <si>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</si>
  <si>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</si>
  <si>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</si>
  <si>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</si>
  <si>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</si>
  <si>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</si>
  <si>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</si>
  <si>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</si>
  <si>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</si>
  <si>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</si>
  <si>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</si>
  <si>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</si>
  <si>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</si>
  <si>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</si>
  <si>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</si>
  <si>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</si>
  <si>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</si>
  <si>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</si>
  <si>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</si>
  <si>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</si>
  <si>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</si>
  <si>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</si>
  <si>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</si>
  <si>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</si>
  <si>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</si>
  <si>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</si>
  <si>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</si>
  <si>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</si>
  <si>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</si>
  <si>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</si>
  <si>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</si>
  <si>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</si>
  <si>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</si>
  <si>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</si>
  <si>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</si>
  <si>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</si>
  <si>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</si>
  <si>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</si>
  <si>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</si>
  <si>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</si>
  <si>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</si>
  <si>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</si>
  <si>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</si>
  <si>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</si>
  <si>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</si>
  <si>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</si>
  <si>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</si>
  <si>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</si>
  <si>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</si>
  <si>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</si>
  <si>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</si>
  <si>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</si>
  <si>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</si>
  <si>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</si>
  <si>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</si>
  <si>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</si>
  <si>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</si>
  <si>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</si>
  <si>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</si>
  <si>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</si>
  <si>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</si>
  <si>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</si>
  <si>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</si>
  <si>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</si>
  <si>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</si>
  <si>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</si>
  <si>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</si>
  <si>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</si>
  <si>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</si>
  <si>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</si>
  <si>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</si>
  <si>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</si>
  <si>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</si>
  <si>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</si>
  <si>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</si>
  <si>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</si>
  <si>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</si>
  <si>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</si>
  <si>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</si>
  <si>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</si>
  <si>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</si>
  <si>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</si>
  <si>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</si>
  <si>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</si>
  <si>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</si>
  <si>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</si>
  <si>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</si>
  <si>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</si>
  <si>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</si>
  <si>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</si>
  <si>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</si>
  <si>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</si>
  <si>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</si>
  <si>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</si>
  <si>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</si>
  <si>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</si>
  <si>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</si>
  <si>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</si>
  <si>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</si>
  <si>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</si>
  <si>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</si>
  <si>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</si>
  <si>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</si>
  <si>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</si>
  <si>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</si>
  <si>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</si>
  <si>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</si>
  <si>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</si>
  <si>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</si>
  <si>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</si>
  <si>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</si>
  <si>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</si>
  <si>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</si>
  <si>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</si>
  <si>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</si>
  <si>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</si>
  <si>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</si>
  <si>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</si>
  <si>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</si>
  <si>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</si>
  <si>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</si>
  <si>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</si>
  <si>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</si>
  <si>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</si>
  <si>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</si>
  <si>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</si>
  <si>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</si>
  <si>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</si>
  <si>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</si>
  <si>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</si>
  <si>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</si>
  <si>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</si>
  <si>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</si>
  <si>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</si>
  <si>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</si>
  <si>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</si>
  <si>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</si>
  <si>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</si>
  <si>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</si>
  <si>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</si>
  <si>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</si>
  <si>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</si>
  <si>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</si>
  <si>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</si>
  <si>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</si>
  <si>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</si>
  <si>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</si>
  <si>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</si>
  <si>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</si>
  <si>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</si>
  <si>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</si>
  <si>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</si>
  <si>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</si>
  <si>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</si>
  <si>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</si>
  <si>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</si>
  <si>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</si>
  <si>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</si>
  <si>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</si>
  <si>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</si>
  <si>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</si>
  <si>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</si>
  <si>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</si>
  <si>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</si>
  <si>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</si>
  <si>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</si>
  <si>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</si>
  <si>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</si>
  <si>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</si>
  <si>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</si>
  <si>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</si>
  <si>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</si>
  <si>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</si>
  <si>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</si>
  <si>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</si>
  <si>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</si>
  <si>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</si>
  <si>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</si>
  <si>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</si>
  <si>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</si>
  <si>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</si>
  <si>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</si>
  <si>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</si>
  <si>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</si>
  <si>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</si>
  <si>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</si>
  <si>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</si>
  <si>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</si>
  <si>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</si>
  <si>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</si>
  <si>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</si>
  <si>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</si>
  <si>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</si>
  <si>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</si>
  <si>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</si>
  <si>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</si>
  <si>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</si>
  <si>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</si>
  <si>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</si>
  <si>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</si>
  <si>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</si>
  <si>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</si>
  <si>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</si>
  <si>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</si>
  <si>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</si>
  <si>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</si>
  <si>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</si>
  <si>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</si>
  <si>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</si>
  <si>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</si>
  <si>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</si>
  <si>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</si>
  <si>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</si>
  <si>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</si>
  <si>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</si>
  <si>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</si>
  <si>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</si>
  <si>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</si>
  <si>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</si>
  <si>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</si>
  <si>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</si>
  <si>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</si>
  <si>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</si>
  <si>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</si>
  <si>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</si>
  <si>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</si>
  <si>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3. …..</t>
  </si>
  <si>
    <t>…..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</si>
  <si>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</si>
  <si>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</si>
  <si>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</si>
  <si>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</si>
  <si>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</si>
  <si>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</si>
  <si>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7.2. ЕНВД  для отдельных видов деятельности</t>
  </si>
  <si>
    <t>7.3. единый сельскохозяйственный налог</t>
  </si>
  <si>
    <t xml:space="preserve">7.4. налог, взимаемый в связи с применением патентной системы налогообложения </t>
  </si>
  <si>
    <t>7.1. Налог, взимаемый в связи с применением упрощенной системы налогообложения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</si>
  <si>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2023 год и на период до 2025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</si>
  <si>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2023 год и на период до 2025 года  </t>
  </si>
  <si>
    <r>
      <t>МО (название) __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__</t>
    </r>
  </si>
  <si>
    <t>Промышленность всего (C, D, E)</t>
  </si>
  <si>
    <r>
      <t>МО (название) 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</t>
    </r>
  </si>
  <si>
    <t>1. Строительство физкультурно-оздоровительного комплекса с плавательным бассейном по ул. Гагарина в г. Кинешма, всего</t>
  </si>
  <si>
    <t>2. Физкультурно-оздоровительный комплекс открытого типа по ул. Гагарина в г. Кинешма, всего</t>
  </si>
  <si>
    <t>3. Строительство здания начальной школы МБОУ школы № 19 имени 212 полка, всего</t>
  </si>
  <si>
    <t>4. Благоустройство общественных и дворовых территорий, всего</t>
  </si>
  <si>
    <t>5. Строительство школы на 825 мест по ул. Гагарина в г. Кинешма, всего</t>
  </si>
  <si>
    <t>6. Строительство сетей уличного освещения, всего</t>
  </si>
  <si>
    <t>7. Строительство водопровода по улицам Энергетическая, Рощинская, Новосельская, Парижской Коммуны, Баррикадная в границах ул. Устининская и 1-го Озерного пер. в г. Кинешма Ивановской области, всего</t>
  </si>
  <si>
    <t>8. Создание обеспечивающей инфраструктуры Волжского бульвара в г. Кинешма в рамках туристского кластера "Кинешма купеческая", всего</t>
  </si>
  <si>
    <t>9. Строительство пешеходного моста через железнодорожные пути в г. Кинешма Ивановской области, всего</t>
  </si>
  <si>
    <t>10. Капитальный ремонт мостового перехода через реку Казоха по ул. Маршала Василевского -ул. Советская в г. Кинешма Ивановской области, всего</t>
  </si>
  <si>
    <t>11. Капитальный ремонт мостового перехода через реку Томка по ул. Аристарха Макарова в г. Кинешма Ивановской облатси, всего</t>
  </si>
  <si>
    <t>12. Капитальный ремонт кузнецкого моста в г. Кинешме Ивановской области, всего</t>
  </si>
  <si>
    <t>13. Строительство очистных сооружений канализации в г. Кинешма, всего</t>
  </si>
  <si>
    <t>14. Строительство централизованной системы водоотведения г. Кинешма, всего</t>
  </si>
  <si>
    <t>15. Ликвидация (рекультивация) несанкционированной свалки в г.о. Кинешма по ул. Спортивная. Ликвидация накопленного вреда окружающей среде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</si>
</sst>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2" fontId="41" fillId="0" borderId="30" xfId="0" applyNumberFormat="1" applyFont="1" applyBorder="1" applyAlignment="1">
      <alignment horizontal="center" vertical="center" wrapText="1"/>
    </xf>
    <xf numFmtId="184" fontId="41" fillId="0" borderId="30" xfId="0" applyNumberFormat="1" applyFont="1" applyBorder="1" applyAlignment="1">
      <alignment horizontal="center" vertical="center" wrapText="1"/>
    </xf>
    <xf numFmtId="185" fontId="46" fillId="0" borderId="31" xfId="0" applyNumberFormat="1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2" fontId="40" fillId="0" borderId="30" xfId="0" applyNumberFormat="1" applyFont="1" applyFill="1" applyBorder="1" applyAlignment="1" applyProtection="1">
      <alignment horizontal="center" vertical="center" wrapText="1"/>
      <protection locked="0"/>
    </xf>
    <xf numFmtId="186" fontId="40" fillId="0" borderId="30" xfId="0" applyNumberFormat="1" applyFont="1" applyFill="1" applyBorder="1" applyAlignment="1" applyProtection="1">
      <alignment horizontal="right"/>
      <protection locked="0"/>
    </xf>
    <xf numFmtId="1" fontId="41" fillId="0" borderId="30" xfId="0" applyNumberFormat="1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2023%20&#1075;&#1086;&#1076;\&#1055;&#1088;&#1077;&#1076;&#1074;&#1072;&#1088;&#1080;&#1090;&#1077;&#1083;&#1100;&#1085;&#1099;&#1081;%20&#1087;&#1088;&#1086;&#1075;&#1085;&#1086;&#1079;&#1093;%20&#1057;&#1069;&#1056;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67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30" sqref="E130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3" width="16.75390625" style="234" customWidth="1"/>
    <col min="4" max="4" width="16.625" style="234" customWidth="1"/>
    <col min="5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8" t="s">
        <v>952</v>
      </c>
      <c r="B1" s="318"/>
      <c r="C1" s="318"/>
      <c r="D1" s="318"/>
      <c r="E1" s="318"/>
      <c r="F1" s="318"/>
      <c r="G1" s="318"/>
      <c r="H1" s="318"/>
      <c r="I1" s="233"/>
    </row>
    <row r="2" spans="1:8" ht="15.75" customHeight="1">
      <c r="A2" s="315" t="s">
        <v>954</v>
      </c>
      <c r="B2" s="315"/>
      <c r="C2" s="315"/>
      <c r="D2" s="315"/>
      <c r="E2" s="315"/>
      <c r="F2" s="315"/>
      <c r="G2" s="315"/>
      <c r="H2" s="315"/>
    </row>
    <row r="3" spans="1:8" ht="28.5" customHeight="1">
      <c r="A3" s="319" t="s">
        <v>285</v>
      </c>
      <c r="B3" s="319"/>
      <c r="C3" s="319"/>
      <c r="D3" s="319"/>
      <c r="E3" s="319"/>
      <c r="F3" s="319"/>
      <c r="G3" s="319"/>
      <c r="H3" s="319"/>
    </row>
    <row r="4" spans="1:9" s="238" customFormat="1" ht="30" customHeight="1">
      <c r="A4" s="314" t="s">
        <v>541</v>
      </c>
      <c r="B4" s="314" t="s">
        <v>542</v>
      </c>
      <c r="C4" s="236" t="s">
        <v>548</v>
      </c>
      <c r="D4" s="236" t="s">
        <v>548</v>
      </c>
      <c r="E4" s="236" t="s">
        <v>549</v>
      </c>
      <c r="F4" s="320" t="s">
        <v>550</v>
      </c>
      <c r="G4" s="320"/>
      <c r="H4" s="320"/>
      <c r="I4" s="237"/>
    </row>
    <row r="5" spans="1:9" s="238" customFormat="1" ht="10.5" customHeight="1">
      <c r="A5" s="314"/>
      <c r="B5" s="314"/>
      <c r="C5" s="316">
        <v>2020</v>
      </c>
      <c r="D5" s="316">
        <v>2021</v>
      </c>
      <c r="E5" s="316">
        <v>2022</v>
      </c>
      <c r="F5" s="316">
        <v>2023</v>
      </c>
      <c r="G5" s="316">
        <v>2024</v>
      </c>
      <c r="H5" s="314">
        <v>2025</v>
      </c>
      <c r="I5" s="237"/>
    </row>
    <row r="6" spans="1:9" s="238" customFormat="1" ht="23.25" customHeight="1">
      <c r="A6" s="314"/>
      <c r="B6" s="314"/>
      <c r="C6" s="317"/>
      <c r="D6" s="317"/>
      <c r="E6" s="317"/>
      <c r="F6" s="317"/>
      <c r="G6" s="317"/>
      <c r="H6" s="314"/>
      <c r="I6" s="237"/>
    </row>
    <row r="7" spans="1:9" s="238" customFormat="1" ht="23.25" customHeight="1">
      <c r="A7" s="250" t="s">
        <v>286</v>
      </c>
      <c r="B7" s="250"/>
      <c r="C7" s="262"/>
      <c r="D7" s="250"/>
      <c r="E7" s="250"/>
      <c r="F7" s="250"/>
      <c r="G7" s="250"/>
      <c r="H7" s="250"/>
      <c r="I7" s="237"/>
    </row>
    <row r="8" spans="1:8" ht="42.75" customHeight="1">
      <c r="A8" s="229" t="s">
        <v>287</v>
      </c>
      <c r="B8" s="267" t="s">
        <v>47</v>
      </c>
      <c r="C8" s="270">
        <f aca="true" t="shared" si="0" ref="C8:H8">C11</f>
        <v>95.01137074061616</v>
      </c>
      <c r="D8" s="270">
        <f t="shared" si="0"/>
        <v>145.48009338013844</v>
      </c>
      <c r="E8" s="270">
        <f t="shared" si="0"/>
        <v>91.48300563567993</v>
      </c>
      <c r="F8" s="270">
        <f t="shared" si="0"/>
        <v>106.80251645722934</v>
      </c>
      <c r="G8" s="270">
        <f t="shared" si="0"/>
        <v>109.80671522776818</v>
      </c>
      <c r="H8" s="270">
        <f t="shared" si="0"/>
        <v>111.5379267608505</v>
      </c>
    </row>
    <row r="9" spans="1:8" ht="18.75">
      <c r="A9" s="226" t="s">
        <v>955</v>
      </c>
      <c r="B9" s="263"/>
      <c r="C9" s="239"/>
      <c r="D9" s="239"/>
      <c r="E9" s="239"/>
      <c r="F9" s="239"/>
      <c r="G9" s="239"/>
      <c r="H9" s="239"/>
    </row>
    <row r="10" spans="1:8" ht="47.25">
      <c r="A10" s="271" t="s">
        <v>119</v>
      </c>
      <c r="B10" s="249" t="s">
        <v>937</v>
      </c>
      <c r="C10" s="239">
        <f aca="true" t="shared" si="1" ref="C10:H10">SUM(C14,C106,C110)</f>
        <v>8808.56741023534</v>
      </c>
      <c r="D10" s="239">
        <f t="shared" si="1"/>
        <v>14198.701</v>
      </c>
      <c r="E10" s="239">
        <f t="shared" si="1"/>
        <v>15249.553763891405</v>
      </c>
      <c r="F10" s="239">
        <f t="shared" si="1"/>
        <v>16889.52273356252</v>
      </c>
      <c r="G10" s="239">
        <f t="shared" si="1"/>
        <v>18990.9300545251</v>
      </c>
      <c r="H10" s="239">
        <f t="shared" si="1"/>
        <v>21972.520513002226</v>
      </c>
    </row>
    <row r="11" spans="1:8" ht="47.25">
      <c r="A11" s="271" t="s">
        <v>272</v>
      </c>
      <c r="B11" s="249" t="s">
        <v>47</v>
      </c>
      <c r="C11" s="239">
        <v>95.01137074061616</v>
      </c>
      <c r="D11" s="239">
        <f>D10/D12/C10*10000</f>
        <v>145.48009338013844</v>
      </c>
      <c r="E11" s="239">
        <f>E10/E12/D10*10000</f>
        <v>91.48300563567993</v>
      </c>
      <c r="F11" s="239">
        <f>F10/F12/E10*10000</f>
        <v>106.80251645722934</v>
      </c>
      <c r="G11" s="239">
        <f>G10/G12/F10*10000</f>
        <v>109.80671522776818</v>
      </c>
      <c r="H11" s="239">
        <f>H10/H12/G10*10000</f>
        <v>111.5379267608505</v>
      </c>
    </row>
    <row r="12" spans="1:8" ht="47.25">
      <c r="A12" s="271" t="s">
        <v>714</v>
      </c>
      <c r="B12" s="249" t="s">
        <v>47</v>
      </c>
      <c r="C12" s="239">
        <v>103.4</v>
      </c>
      <c r="D12" s="239">
        <v>110.8</v>
      </c>
      <c r="E12" s="239">
        <v>117.4</v>
      </c>
      <c r="F12" s="239">
        <v>103.7</v>
      </c>
      <c r="G12" s="239">
        <v>102.4</v>
      </c>
      <c r="H12" s="239">
        <v>103.7316</v>
      </c>
    </row>
    <row r="13" spans="1:8" ht="18.75" customHeight="1">
      <c r="A13" s="226" t="s">
        <v>910</v>
      </c>
      <c r="B13" s="263"/>
      <c r="C13" s="239"/>
      <c r="D13" s="239"/>
      <c r="E13" s="239"/>
      <c r="F13" s="239"/>
      <c r="G13" s="239"/>
      <c r="H13" s="239"/>
    </row>
    <row r="14" spans="1:8" ht="47.25">
      <c r="A14" s="271" t="s">
        <v>119</v>
      </c>
      <c r="B14" s="249" t="s">
        <v>937</v>
      </c>
      <c r="C14" s="239">
        <f aca="true" t="shared" si="2" ref="C14:H14">SUM(C18,C22,C26,C30,C34,C38,C42,C46,C50,C54,C58,C62,C66,C70,C74,C78,C82,C86,C90,C94,C98,C102)</f>
        <v>7808.336410235341</v>
      </c>
      <c r="D14" s="239">
        <f t="shared" si="2"/>
        <v>13062.071999999998</v>
      </c>
      <c r="E14" s="239">
        <f t="shared" si="2"/>
        <v>14042.853323891404</v>
      </c>
      <c r="F14" s="239">
        <f t="shared" si="2"/>
        <v>15631.216279762522</v>
      </c>
      <c r="G14" s="239">
        <f t="shared" si="2"/>
        <v>17666.094380199098</v>
      </c>
      <c r="H14" s="239">
        <f t="shared" si="2"/>
        <v>20599.810066622686</v>
      </c>
    </row>
    <row r="15" spans="1:8" ht="47.25">
      <c r="A15" s="271" t="s">
        <v>272</v>
      </c>
      <c r="B15" s="249" t="s">
        <v>47</v>
      </c>
      <c r="C15" s="239">
        <v>97.48272009304891</v>
      </c>
      <c r="D15" s="239">
        <f>D14/D16/C14*10000</f>
        <v>150.9780448336763</v>
      </c>
      <c r="E15" s="239">
        <f>E14/E16/D14*10000</f>
        <v>91.57463355662402</v>
      </c>
      <c r="F15" s="239">
        <f>F14/F16/E14*10000</f>
        <v>107.33927462601378</v>
      </c>
      <c r="G15" s="239">
        <f>G14/G16/F14*10000</f>
        <v>110.36918039128612</v>
      </c>
      <c r="H15" s="239">
        <f>H14/H16/G14*10000</f>
        <v>112.41172004555703</v>
      </c>
    </row>
    <row r="16" spans="1:8" ht="47.25">
      <c r="A16" s="271" t="s">
        <v>714</v>
      </c>
      <c r="B16" s="249" t="s">
        <v>47</v>
      </c>
      <c r="C16" s="239">
        <v>103.4</v>
      </c>
      <c r="D16" s="239">
        <v>110.8</v>
      </c>
      <c r="E16" s="239">
        <v>117.4</v>
      </c>
      <c r="F16" s="239">
        <v>103.7</v>
      </c>
      <c r="G16" s="239">
        <v>102.4</v>
      </c>
      <c r="H16" s="239">
        <v>103.7316</v>
      </c>
    </row>
    <row r="17" spans="1:8" ht="39" customHeight="1">
      <c r="A17" s="272" t="s">
        <v>911</v>
      </c>
      <c r="B17" s="263"/>
      <c r="C17" s="239"/>
      <c r="D17" s="239"/>
      <c r="E17" s="239"/>
      <c r="F17" s="239"/>
      <c r="G17" s="239"/>
      <c r="H17" s="239"/>
    </row>
    <row r="18" spans="1:8" ht="47.25">
      <c r="A18" s="271" t="s">
        <v>119</v>
      </c>
      <c r="B18" s="249" t="s">
        <v>937</v>
      </c>
      <c r="C18" s="239">
        <v>455.71520781972</v>
      </c>
      <c r="D18" s="239">
        <v>545.99</v>
      </c>
      <c r="E18" s="239">
        <v>632.2429181992571</v>
      </c>
      <c r="F18" s="239">
        <v>748.1524871702296</v>
      </c>
      <c r="G18" s="239">
        <v>877.7239383015967</v>
      </c>
      <c r="H18" s="239">
        <v>1033.2965002135784</v>
      </c>
    </row>
    <row r="19" spans="1:8" ht="47.25">
      <c r="A19" s="271" t="s">
        <v>272</v>
      </c>
      <c r="B19" s="249" t="s">
        <v>47</v>
      </c>
      <c r="C19" s="239">
        <v>104.254</v>
      </c>
      <c r="D19" s="239">
        <f>D18/D20/C18*10000</f>
        <v>109.5150598193685</v>
      </c>
      <c r="E19" s="239">
        <f>E18/E20/D18*10000</f>
        <v>102.7484712488286</v>
      </c>
      <c r="F19" s="239">
        <f>F18/F20/E18*10000</f>
        <v>109.56766212422137</v>
      </c>
      <c r="G19" s="239">
        <f>G18/G20/F18*10000</f>
        <v>109.64379055651155</v>
      </c>
      <c r="H19" s="239">
        <f>H18/H20/G18*10000</f>
        <v>111.06089016504157</v>
      </c>
    </row>
    <row r="20" spans="1:8" ht="47.25">
      <c r="A20" s="271" t="s">
        <v>714</v>
      </c>
      <c r="B20" s="249" t="s">
        <v>47</v>
      </c>
      <c r="C20" s="239">
        <v>102.6</v>
      </c>
      <c r="D20" s="239">
        <v>109.4</v>
      </c>
      <c r="E20" s="239">
        <v>112.7</v>
      </c>
      <c r="F20" s="239">
        <v>108</v>
      </c>
      <c r="G20" s="239">
        <v>107</v>
      </c>
      <c r="H20" s="239">
        <v>106</v>
      </c>
    </row>
    <row r="21" spans="1:8" ht="19.5">
      <c r="A21" s="272" t="s">
        <v>912</v>
      </c>
      <c r="B21" s="263"/>
      <c r="C21" s="239"/>
      <c r="D21" s="239"/>
      <c r="E21" s="239"/>
      <c r="F21" s="239"/>
      <c r="G21" s="239"/>
      <c r="H21" s="239"/>
    </row>
    <row r="22" spans="1:8" ht="47.25">
      <c r="A22" s="271" t="s">
        <v>119</v>
      </c>
      <c r="B22" s="249" t="s">
        <v>937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</row>
    <row r="23" spans="1:8" ht="47.25">
      <c r="A23" s="271" t="s">
        <v>272</v>
      </c>
      <c r="B23" s="249" t="s">
        <v>47</v>
      </c>
      <c r="C23" s="239"/>
      <c r="D23" s="239"/>
      <c r="E23" s="239"/>
      <c r="F23" s="239"/>
      <c r="G23" s="239"/>
      <c r="H23" s="239"/>
    </row>
    <row r="24" spans="1:8" ht="47.25">
      <c r="A24" s="271" t="s">
        <v>714</v>
      </c>
      <c r="B24" s="249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2" t="s">
        <v>913</v>
      </c>
      <c r="B25" s="263"/>
      <c r="C25" s="239"/>
      <c r="D25" s="239"/>
      <c r="E25" s="239"/>
      <c r="F25" s="239"/>
      <c r="G25" s="239"/>
      <c r="H25" s="239"/>
    </row>
    <row r="26" spans="1:8" ht="47.25">
      <c r="A26" s="271" t="s">
        <v>119</v>
      </c>
      <c r="B26" s="249" t="s">
        <v>937</v>
      </c>
      <c r="C26" s="239">
        <v>1732.72822960923</v>
      </c>
      <c r="D26" s="239">
        <v>3073.394</v>
      </c>
      <c r="E26" s="239">
        <v>3482.89301656</v>
      </c>
      <c r="F26" s="239">
        <v>4317.981093820527</v>
      </c>
      <c r="G26" s="239">
        <v>5215.300566362237</v>
      </c>
      <c r="H26" s="239">
        <v>6041.091258040034</v>
      </c>
    </row>
    <row r="27" spans="1:8" ht="47.25">
      <c r="A27" s="271" t="s">
        <v>272</v>
      </c>
      <c r="B27" s="249" t="s">
        <v>47</v>
      </c>
      <c r="C27" s="239">
        <v>90.137</v>
      </c>
      <c r="D27" s="239">
        <f>D26/D28/C26*10000</f>
        <v>170.0605109878354</v>
      </c>
      <c r="E27" s="239">
        <f>E26/E28/D26*10000</f>
        <v>101.63587443946189</v>
      </c>
      <c r="F27" s="239">
        <f>F26/F28/E26*10000</f>
        <v>113.74023049097667</v>
      </c>
      <c r="G27" s="239">
        <f>G26/G28/F26*10000</f>
        <v>112.87943538749083</v>
      </c>
      <c r="H27" s="239">
        <f>H26/H28/G26*10000</f>
        <v>108.25607476635516</v>
      </c>
    </row>
    <row r="28" spans="1:8" ht="47.25">
      <c r="A28" s="271" t="s">
        <v>714</v>
      </c>
      <c r="B28" s="249" t="s">
        <v>47</v>
      </c>
      <c r="C28" s="239">
        <v>102.9</v>
      </c>
      <c r="D28" s="239">
        <v>104.3</v>
      </c>
      <c r="E28" s="239">
        <v>111.5</v>
      </c>
      <c r="F28" s="239">
        <v>109</v>
      </c>
      <c r="G28" s="239">
        <v>107</v>
      </c>
      <c r="H28" s="239">
        <v>107</v>
      </c>
    </row>
    <row r="29" spans="1:8" ht="41.25" customHeight="1">
      <c r="A29" s="272" t="s">
        <v>914</v>
      </c>
      <c r="B29" s="263"/>
      <c r="C29" s="239"/>
      <c r="D29" s="239"/>
      <c r="E29" s="239"/>
      <c r="F29" s="239"/>
      <c r="G29" s="239"/>
      <c r="H29" s="239"/>
    </row>
    <row r="30" spans="1:8" ht="47.25">
      <c r="A30" s="271" t="s">
        <v>119</v>
      </c>
      <c r="B30" s="249" t="s">
        <v>937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</row>
    <row r="31" spans="1:8" ht="47.25">
      <c r="A31" s="271" t="s">
        <v>272</v>
      </c>
      <c r="B31" s="249" t="s">
        <v>47</v>
      </c>
      <c r="C31" s="239"/>
      <c r="D31" s="239"/>
      <c r="E31" s="239"/>
      <c r="F31" s="239"/>
      <c r="G31" s="239"/>
      <c r="H31" s="239"/>
    </row>
    <row r="32" spans="1:8" ht="47.25">
      <c r="A32" s="271" t="s">
        <v>714</v>
      </c>
      <c r="B32" s="249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2" t="s">
        <v>915</v>
      </c>
      <c r="B33" s="263"/>
      <c r="C33" s="239"/>
      <c r="D33" s="239"/>
      <c r="E33" s="239"/>
      <c r="F33" s="239"/>
      <c r="G33" s="239"/>
      <c r="H33" s="239"/>
    </row>
    <row r="34" spans="1:8" ht="47.25">
      <c r="A34" s="271" t="s">
        <v>119</v>
      </c>
      <c r="B34" s="249" t="s">
        <v>937</v>
      </c>
      <c r="C34" s="239">
        <v>0</v>
      </c>
      <c r="D34" s="239">
        <v>0</v>
      </c>
      <c r="E34" s="239">
        <v>0</v>
      </c>
      <c r="F34" s="239">
        <v>0</v>
      </c>
      <c r="G34" s="239">
        <v>0</v>
      </c>
      <c r="H34" s="239">
        <v>0</v>
      </c>
    </row>
    <row r="35" spans="1:8" ht="47.25">
      <c r="A35" s="271" t="s">
        <v>272</v>
      </c>
      <c r="B35" s="249" t="s">
        <v>47</v>
      </c>
      <c r="C35" s="239"/>
      <c r="D35" s="239"/>
      <c r="E35" s="239"/>
      <c r="F35" s="239"/>
      <c r="G35" s="239"/>
      <c r="H35" s="239"/>
    </row>
    <row r="36" spans="1:8" ht="47.25">
      <c r="A36" s="271" t="s">
        <v>714</v>
      </c>
      <c r="B36" s="249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2" t="s">
        <v>917</v>
      </c>
      <c r="B37" s="263"/>
      <c r="C37" s="239"/>
      <c r="D37" s="239"/>
      <c r="E37" s="239"/>
      <c r="F37" s="239"/>
      <c r="G37" s="239"/>
      <c r="H37" s="239"/>
    </row>
    <row r="38" spans="1:9" ht="47.25">
      <c r="A38" s="271" t="s">
        <v>119</v>
      </c>
      <c r="B38" s="249" t="s">
        <v>937</v>
      </c>
      <c r="C38" s="239">
        <v>106.815</v>
      </c>
      <c r="D38" s="239">
        <v>259.261</v>
      </c>
      <c r="E38" s="239">
        <v>295.55754</v>
      </c>
      <c r="F38" s="239">
        <v>316.24656780000004</v>
      </c>
      <c r="G38" s="239">
        <v>344.70875890200006</v>
      </c>
      <c r="H38" s="239">
        <v>379.1796347922001</v>
      </c>
      <c r="I38" s="235">
        <v>455.0155617506401</v>
      </c>
    </row>
    <row r="39" spans="1:8" ht="47.25">
      <c r="A39" s="271" t="s">
        <v>272</v>
      </c>
      <c r="B39" s="249" t="s">
        <v>47</v>
      </c>
      <c r="C39" s="239">
        <v>68.5305</v>
      </c>
      <c r="D39" s="239">
        <f>D38/D40/C38*10000</f>
        <v>226.84079951317702</v>
      </c>
      <c r="E39" s="239">
        <f>E38/E40/D38*10000</f>
        <v>94.21487603305785</v>
      </c>
      <c r="F39" s="239">
        <f>F38/F40/E38*10000</f>
        <v>98.16513761467891</v>
      </c>
      <c r="G39" s="239">
        <f>G38/G40/F38*10000</f>
        <v>101.86915887850468</v>
      </c>
      <c r="H39" s="239">
        <f>H38/H40/G38*10000</f>
        <v>102.80373831775701</v>
      </c>
    </row>
    <row r="40" spans="1:8" ht="47.25">
      <c r="A40" s="271" t="s">
        <v>714</v>
      </c>
      <c r="B40" s="249" t="s">
        <v>47</v>
      </c>
      <c r="C40" s="239">
        <v>104</v>
      </c>
      <c r="D40" s="239">
        <v>107</v>
      </c>
      <c r="E40" s="239">
        <v>121</v>
      </c>
      <c r="F40" s="239">
        <v>109</v>
      </c>
      <c r="G40" s="239">
        <v>107</v>
      </c>
      <c r="H40" s="239">
        <v>107</v>
      </c>
    </row>
    <row r="41" spans="1:8" ht="57.75" customHeight="1">
      <c r="A41" s="272" t="s">
        <v>916</v>
      </c>
      <c r="B41" s="263"/>
      <c r="C41" s="239"/>
      <c r="D41" s="239"/>
      <c r="E41" s="239"/>
      <c r="F41" s="239"/>
      <c r="G41" s="239"/>
      <c r="H41" s="239"/>
    </row>
    <row r="42" spans="1:8" ht="47.25">
      <c r="A42" s="271" t="s">
        <v>119</v>
      </c>
      <c r="B42" s="249" t="s">
        <v>937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</row>
    <row r="43" spans="1:8" ht="47.25">
      <c r="A43" s="271" t="s">
        <v>272</v>
      </c>
      <c r="B43" s="249" t="s">
        <v>47</v>
      </c>
      <c r="C43" s="239"/>
      <c r="D43" s="239"/>
      <c r="E43" s="239"/>
      <c r="F43" s="239"/>
      <c r="G43" s="239"/>
      <c r="H43" s="239"/>
    </row>
    <row r="44" spans="1:8" ht="47.25">
      <c r="A44" s="271" t="s">
        <v>714</v>
      </c>
      <c r="B44" s="249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2" t="s">
        <v>919</v>
      </c>
      <c r="B45" s="263"/>
      <c r="C45" s="239"/>
      <c r="D45" s="239"/>
      <c r="E45" s="239"/>
      <c r="F45" s="239"/>
      <c r="G45" s="239"/>
      <c r="H45" s="239"/>
    </row>
    <row r="46" spans="1:9" ht="47.25">
      <c r="A46" s="271" t="s">
        <v>119</v>
      </c>
      <c r="B46" s="249" t="s">
        <v>937</v>
      </c>
      <c r="C46" s="239">
        <v>13.887890722999998</v>
      </c>
      <c r="D46" s="239">
        <v>15.029</v>
      </c>
      <c r="E46" s="239">
        <v>16.356035047905184</v>
      </c>
      <c r="F46" s="239">
        <v>18.155198903174757</v>
      </c>
      <c r="G46" s="239">
        <v>20.33382277155573</v>
      </c>
      <c r="H46" s="239">
        <v>23.18055795957353</v>
      </c>
      <c r="I46" s="235">
        <v>26.889447233105294</v>
      </c>
    </row>
    <row r="47" spans="1:8" ht="47.25">
      <c r="A47" s="271" t="s">
        <v>272</v>
      </c>
      <c r="B47" s="249" t="s">
        <v>47</v>
      </c>
      <c r="C47" s="239">
        <v>97.726</v>
      </c>
      <c r="D47" s="239">
        <f>D46/D48/C46*10000</f>
        <v>101.80298899615946</v>
      </c>
      <c r="E47" s="239">
        <f>E46/E48/D46*10000</f>
        <v>98.93620846911236</v>
      </c>
      <c r="F47" s="239">
        <f>F46/F48/E46*10000</f>
        <v>103.73831775700936</v>
      </c>
      <c r="G47" s="239">
        <f>G46/G48/F46*10000</f>
        <v>105.66037735849059</v>
      </c>
      <c r="H47" s="239">
        <f>H46/H48/G46*10000</f>
        <v>107.54716981132074</v>
      </c>
    </row>
    <row r="48" spans="1:8" ht="47.25">
      <c r="A48" s="271" t="s">
        <v>714</v>
      </c>
      <c r="B48" s="249" t="s">
        <v>47</v>
      </c>
      <c r="C48" s="239">
        <v>95</v>
      </c>
      <c r="D48" s="239">
        <v>106.3</v>
      </c>
      <c r="E48" s="239">
        <v>110</v>
      </c>
      <c r="F48" s="239">
        <v>107</v>
      </c>
      <c r="G48" s="239">
        <v>106</v>
      </c>
      <c r="H48" s="239">
        <v>106</v>
      </c>
    </row>
    <row r="49" spans="1:8" ht="39" customHeight="1">
      <c r="A49" s="272" t="s">
        <v>918</v>
      </c>
      <c r="B49" s="263"/>
      <c r="C49" s="239"/>
      <c r="D49" s="239"/>
      <c r="E49" s="239"/>
      <c r="F49" s="239"/>
      <c r="G49" s="239"/>
      <c r="H49" s="239"/>
    </row>
    <row r="50" spans="1:9" ht="47.25">
      <c r="A50" s="271" t="s">
        <v>119</v>
      </c>
      <c r="B50" s="249" t="s">
        <v>937</v>
      </c>
      <c r="C50" s="239">
        <v>2772.8544631368</v>
      </c>
      <c r="D50" s="239">
        <v>6329.668</v>
      </c>
      <c r="E50" s="239">
        <v>6885.855927159999</v>
      </c>
      <c r="F50" s="239">
        <v>7442.921671667243</v>
      </c>
      <c r="G50" s="239">
        <v>8187.213838833967</v>
      </c>
      <c r="H50" s="239">
        <v>9824.65660660076</v>
      </c>
      <c r="I50" s="235">
        <v>12280.82075825095</v>
      </c>
    </row>
    <row r="51" spans="1:8" ht="47.25">
      <c r="A51" s="271" t="s">
        <v>272</v>
      </c>
      <c r="B51" s="249" t="s">
        <v>47</v>
      </c>
      <c r="C51" s="239">
        <v>96.42</v>
      </c>
      <c r="D51" s="239">
        <f>D50/D52/C50*10000</f>
        <v>213.9387412235358</v>
      </c>
      <c r="E51" s="239">
        <f>E50/E52/D50*10000</f>
        <v>96.78558718861208</v>
      </c>
      <c r="F51" s="239">
        <f>F50/F52/E50*10000</f>
        <v>99.62211981566821</v>
      </c>
      <c r="G51" s="239">
        <f>G50/G52/F50*10000</f>
        <v>102.80373831775701</v>
      </c>
      <c r="H51" s="239">
        <f>H50/H52/G50*10000</f>
        <v>113.2075471698113</v>
      </c>
    </row>
    <row r="52" spans="1:8" ht="47.25">
      <c r="A52" s="271" t="s">
        <v>714</v>
      </c>
      <c r="B52" s="249" t="s">
        <v>47</v>
      </c>
      <c r="C52" s="239">
        <v>100.4</v>
      </c>
      <c r="D52" s="239">
        <v>106.7</v>
      </c>
      <c r="E52" s="239">
        <v>112.4</v>
      </c>
      <c r="F52" s="239">
        <v>108.5</v>
      </c>
      <c r="G52" s="239">
        <v>107</v>
      </c>
      <c r="H52" s="239">
        <v>106</v>
      </c>
    </row>
    <row r="53" spans="1:8" ht="74.25" customHeight="1">
      <c r="A53" s="272" t="s">
        <v>920</v>
      </c>
      <c r="B53" s="263"/>
      <c r="C53" s="239"/>
      <c r="D53" s="239"/>
      <c r="E53" s="239"/>
      <c r="F53" s="239"/>
      <c r="G53" s="239"/>
      <c r="H53" s="239"/>
    </row>
    <row r="54" spans="1:8" ht="47.25">
      <c r="A54" s="271" t="s">
        <v>119</v>
      </c>
      <c r="B54" s="249" t="s">
        <v>397</v>
      </c>
      <c r="C54" s="239">
        <v>0</v>
      </c>
      <c r="D54" s="239">
        <v>0</v>
      </c>
      <c r="E54" s="239">
        <v>0</v>
      </c>
      <c r="F54" s="239">
        <v>0</v>
      </c>
      <c r="G54" s="239">
        <v>0</v>
      </c>
      <c r="H54" s="239">
        <v>0</v>
      </c>
    </row>
    <row r="55" spans="1:8" ht="47.25">
      <c r="A55" s="271" t="s">
        <v>272</v>
      </c>
      <c r="B55" s="249" t="s">
        <v>47</v>
      </c>
      <c r="C55" s="239"/>
      <c r="D55" s="239"/>
      <c r="E55" s="239"/>
      <c r="F55" s="239"/>
      <c r="G55" s="239"/>
      <c r="H55" s="239"/>
    </row>
    <row r="56" spans="1:8" ht="47.25">
      <c r="A56" s="271" t="s">
        <v>714</v>
      </c>
      <c r="B56" s="249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2" t="s">
        <v>153</v>
      </c>
      <c r="B57" s="263"/>
      <c r="C57" s="239"/>
      <c r="D57" s="239"/>
      <c r="E57" s="239"/>
      <c r="F57" s="239"/>
      <c r="G57" s="239"/>
      <c r="H57" s="239"/>
    </row>
    <row r="58" spans="1:8" ht="47.25">
      <c r="A58" s="271" t="s">
        <v>119</v>
      </c>
      <c r="B58" s="249" t="s">
        <v>937</v>
      </c>
      <c r="C58" s="239">
        <v>0</v>
      </c>
      <c r="D58" s="239">
        <v>0</v>
      </c>
      <c r="E58" s="239">
        <v>0</v>
      </c>
      <c r="F58" s="239">
        <v>0</v>
      </c>
      <c r="G58" s="239">
        <v>0</v>
      </c>
      <c r="H58" s="239">
        <v>0</v>
      </c>
    </row>
    <row r="59" spans="1:8" ht="47.25">
      <c r="A59" s="271" t="s">
        <v>272</v>
      </c>
      <c r="B59" s="249" t="s">
        <v>47</v>
      </c>
      <c r="C59" s="239"/>
      <c r="D59" s="239"/>
      <c r="E59" s="239"/>
      <c r="F59" s="239"/>
      <c r="G59" s="239"/>
      <c r="H59" s="239"/>
    </row>
    <row r="60" spans="1:8" ht="47.25">
      <c r="A60" s="271" t="s">
        <v>714</v>
      </c>
      <c r="B60" s="249" t="s">
        <v>47</v>
      </c>
      <c r="C60" s="239"/>
      <c r="D60" s="239"/>
      <c r="E60" s="239"/>
      <c r="F60" s="239"/>
      <c r="G60" s="239"/>
      <c r="H60" s="239"/>
    </row>
    <row r="61" spans="1:8" ht="58.5">
      <c r="A61" s="272" t="s">
        <v>921</v>
      </c>
      <c r="B61" s="263"/>
      <c r="C61" s="239"/>
      <c r="D61" s="239"/>
      <c r="E61" s="239"/>
      <c r="F61" s="239"/>
      <c r="G61" s="239"/>
      <c r="H61" s="239"/>
    </row>
    <row r="62" spans="1:9" ht="47.25">
      <c r="A62" s="271" t="s">
        <v>119</v>
      </c>
      <c r="B62" s="249" t="s">
        <v>937</v>
      </c>
      <c r="C62" s="239">
        <v>26.521178839379996</v>
      </c>
      <c r="D62" s="239">
        <v>43.542</v>
      </c>
      <c r="E62" s="239">
        <v>35.339</v>
      </c>
      <c r="F62" s="239">
        <v>34.209757377844404</v>
      </c>
      <c r="G62" s="239">
        <v>37.972830689407296</v>
      </c>
      <c r="H62" s="239">
        <v>47.46603836175912</v>
      </c>
      <c r="I62" s="235">
        <v>64.07915178837482</v>
      </c>
    </row>
    <row r="63" spans="1:8" ht="47.25">
      <c r="A63" s="271" t="s">
        <v>272</v>
      </c>
      <c r="B63" s="249" t="s">
        <v>47</v>
      </c>
      <c r="C63" s="239">
        <v>111.354</v>
      </c>
      <c r="D63" s="239">
        <f>D62/D64/C62*10000</f>
        <v>157.5606741678319</v>
      </c>
      <c r="E63" s="239">
        <f>E62/E64/D62*10000</f>
        <v>70.5745377276912</v>
      </c>
      <c r="F63" s="239">
        <f>F62/F64/E62*10000</f>
        <v>88.81150715012836</v>
      </c>
      <c r="G63" s="239">
        <f>G62/G64/F62*10000</f>
        <v>102.7777777777778</v>
      </c>
      <c r="H63" s="239">
        <f>H62/H64/G62*10000</f>
        <v>116.82242990654206</v>
      </c>
    </row>
    <row r="64" spans="1:8" ht="47.25">
      <c r="A64" s="271" t="s">
        <v>714</v>
      </c>
      <c r="B64" s="249" t="s">
        <v>47</v>
      </c>
      <c r="C64" s="239">
        <v>103.9</v>
      </c>
      <c r="D64" s="239">
        <v>104.2</v>
      </c>
      <c r="E64" s="239">
        <v>115</v>
      </c>
      <c r="F64" s="239">
        <v>109</v>
      </c>
      <c r="G64" s="239">
        <v>108</v>
      </c>
      <c r="H64" s="239">
        <v>107</v>
      </c>
    </row>
    <row r="65" spans="1:8" ht="19.5">
      <c r="A65" s="272" t="s">
        <v>922</v>
      </c>
      <c r="B65" s="263"/>
      <c r="C65" s="239"/>
      <c r="D65" s="239"/>
      <c r="E65" s="239"/>
      <c r="F65" s="239"/>
      <c r="G65" s="239"/>
      <c r="H65" s="239"/>
    </row>
    <row r="66" spans="1:8" ht="47.25">
      <c r="A66" s="271" t="s">
        <v>119</v>
      </c>
      <c r="B66" s="249" t="s">
        <v>937</v>
      </c>
      <c r="C66" s="239">
        <v>0</v>
      </c>
      <c r="D66" s="239">
        <v>0</v>
      </c>
      <c r="E66" s="239">
        <v>0</v>
      </c>
      <c r="F66" s="239">
        <v>0</v>
      </c>
      <c r="G66" s="239">
        <v>0</v>
      </c>
      <c r="H66" s="239">
        <v>0</v>
      </c>
    </row>
    <row r="67" spans="1:8" ht="47.25">
      <c r="A67" s="271" t="s">
        <v>272</v>
      </c>
      <c r="B67" s="249" t="s">
        <v>47</v>
      </c>
      <c r="C67" s="239"/>
      <c r="D67" s="239"/>
      <c r="E67" s="239"/>
      <c r="F67" s="239"/>
      <c r="G67" s="239"/>
      <c r="H67" s="239"/>
    </row>
    <row r="68" spans="1:8" ht="47.25">
      <c r="A68" s="271" t="s">
        <v>714</v>
      </c>
      <c r="B68" s="249" t="s">
        <v>47</v>
      </c>
      <c r="C68" s="239"/>
      <c r="D68" s="239"/>
      <c r="E68" s="239"/>
      <c r="F68" s="239"/>
      <c r="G68" s="239"/>
      <c r="H68" s="239"/>
    </row>
    <row r="69" spans="1:8" ht="58.5">
      <c r="A69" s="272" t="s">
        <v>923</v>
      </c>
      <c r="B69" s="263"/>
      <c r="C69" s="239"/>
      <c r="D69" s="239"/>
      <c r="E69" s="239"/>
      <c r="F69" s="239"/>
      <c r="G69" s="239"/>
      <c r="H69" s="239"/>
    </row>
    <row r="70" spans="1:8" ht="47.25">
      <c r="A70" s="271" t="s">
        <v>119</v>
      </c>
      <c r="B70" s="249" t="s">
        <v>937</v>
      </c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</row>
    <row r="71" spans="1:8" ht="47.25">
      <c r="A71" s="271" t="s">
        <v>272</v>
      </c>
      <c r="B71" s="249" t="s">
        <v>47</v>
      </c>
      <c r="C71" s="239"/>
      <c r="D71" s="239"/>
      <c r="E71" s="239"/>
      <c r="F71" s="239"/>
      <c r="G71" s="239"/>
      <c r="H71" s="239"/>
    </row>
    <row r="72" spans="1:8" ht="47.25">
      <c r="A72" s="271" t="s">
        <v>714</v>
      </c>
      <c r="B72" s="249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2" t="s">
        <v>936</v>
      </c>
      <c r="B73" s="263"/>
      <c r="C73" s="239"/>
      <c r="D73" s="239"/>
      <c r="E73" s="239"/>
      <c r="F73" s="239"/>
      <c r="G73" s="239"/>
      <c r="H73" s="239"/>
    </row>
    <row r="74" spans="1:9" ht="47.25">
      <c r="A74" s="271" t="s">
        <v>119</v>
      </c>
      <c r="B74" s="249" t="s">
        <v>937</v>
      </c>
      <c r="C74" s="239">
        <v>371.56794905741003</v>
      </c>
      <c r="D74" s="239">
        <v>367.817</v>
      </c>
      <c r="E74" s="239">
        <v>366.03200000000004</v>
      </c>
      <c r="F74" s="239">
        <v>367.9256211982936</v>
      </c>
      <c r="G74" s="239">
        <v>399.9351502425451</v>
      </c>
      <c r="H74" s="239">
        <v>435.92931376437417</v>
      </c>
      <c r="I74" s="235">
        <v>479.5222451408116</v>
      </c>
    </row>
    <row r="75" spans="1:8" ht="47.25">
      <c r="A75" s="271" t="s">
        <v>272</v>
      </c>
      <c r="B75" s="249" t="s">
        <v>47</v>
      </c>
      <c r="C75" s="239">
        <v>92.687</v>
      </c>
      <c r="D75" s="239">
        <f>D74/D76/C74*10000</f>
        <v>95.27479105801085</v>
      </c>
      <c r="E75" s="239">
        <f>E74/E76/D74*10000</f>
        <v>85.05530284023394</v>
      </c>
      <c r="F75" s="239">
        <f>F74/F76/E74*10000</f>
        <v>93.9414370180937</v>
      </c>
      <c r="G75" s="239">
        <f>G74/G76/F74*10000</f>
        <v>102.54716981132076</v>
      </c>
      <c r="H75" s="239">
        <f>H74/H76/G74*10000</f>
        <v>102.83018867924528</v>
      </c>
    </row>
    <row r="76" spans="1:8" ht="47.25">
      <c r="A76" s="271" t="s">
        <v>714</v>
      </c>
      <c r="B76" s="249" t="s">
        <v>47</v>
      </c>
      <c r="C76" s="239">
        <v>103.9</v>
      </c>
      <c r="D76" s="239">
        <v>103.9</v>
      </c>
      <c r="E76" s="239">
        <v>117</v>
      </c>
      <c r="F76" s="239">
        <v>107</v>
      </c>
      <c r="G76" s="239">
        <v>106</v>
      </c>
      <c r="H76" s="239">
        <v>106</v>
      </c>
    </row>
    <row r="77" spans="1:8" ht="39">
      <c r="A77" s="272" t="s">
        <v>924</v>
      </c>
      <c r="B77" s="263"/>
      <c r="C77" s="239"/>
      <c r="D77" s="239"/>
      <c r="E77" s="239"/>
      <c r="F77" s="239"/>
      <c r="G77" s="239"/>
      <c r="H77" s="239"/>
    </row>
    <row r="78" spans="1:9" ht="47.25">
      <c r="A78" s="271" t="s">
        <v>119</v>
      </c>
      <c r="B78" s="249" t="s">
        <v>937</v>
      </c>
      <c r="C78" s="239">
        <v>1077.7268650133701</v>
      </c>
      <c r="D78" s="239">
        <v>1241.622</v>
      </c>
      <c r="E78" s="239">
        <v>1210.03513632</v>
      </c>
      <c r="F78" s="239">
        <v>1294.7375958624</v>
      </c>
      <c r="G78" s="239">
        <v>1398.316603531392</v>
      </c>
      <c r="H78" s="239">
        <v>1524.1650978492175</v>
      </c>
      <c r="I78" s="235">
        <v>1691.8232586126317</v>
      </c>
    </row>
    <row r="79" spans="1:8" ht="47.25">
      <c r="A79" s="271" t="s">
        <v>272</v>
      </c>
      <c r="B79" s="249" t="s">
        <v>47</v>
      </c>
      <c r="C79" s="239">
        <v>97.221</v>
      </c>
      <c r="D79" s="239">
        <f>D78/D76/C78*10000</f>
        <v>110.88304473801942</v>
      </c>
      <c r="E79" s="239">
        <f>E78/E76/D78*10000</f>
        <v>83.2957264957265</v>
      </c>
      <c r="F79" s="239">
        <f>F78/F76/E78*10000</f>
        <v>100</v>
      </c>
      <c r="G79" s="239">
        <f>G78/G76/F78*10000</f>
        <v>101.88679245283019</v>
      </c>
      <c r="H79" s="239">
        <f>H78/H76/G78*10000</f>
        <v>102.83018867924528</v>
      </c>
    </row>
    <row r="80" spans="1:8" ht="18.75">
      <c r="A80" s="271"/>
      <c r="B80" s="249"/>
      <c r="C80" s="239"/>
      <c r="D80" s="239"/>
      <c r="E80" s="239"/>
      <c r="F80" s="239"/>
      <c r="G80" s="239"/>
      <c r="H80" s="239"/>
    </row>
    <row r="81" spans="1:8" ht="60" customHeight="1">
      <c r="A81" s="272" t="s">
        <v>925</v>
      </c>
      <c r="B81" s="263"/>
      <c r="C81" s="239"/>
      <c r="E81" s="239"/>
      <c r="F81" s="239"/>
      <c r="G81" s="239"/>
      <c r="H81" s="239"/>
    </row>
    <row r="82" spans="1:8" ht="47.25">
      <c r="A82" s="271" t="s">
        <v>119</v>
      </c>
      <c r="B82" s="249" t="s">
        <v>937</v>
      </c>
      <c r="C82" s="239">
        <v>103.77165162348</v>
      </c>
      <c r="D82" s="239">
        <v>126.291</v>
      </c>
      <c r="E82" s="239">
        <v>131.0372359989642</v>
      </c>
      <c r="F82" s="239">
        <v>141.52021487888135</v>
      </c>
      <c r="G82" s="239">
        <v>158.50264066434713</v>
      </c>
      <c r="H82" s="239">
        <v>177.5229575440688</v>
      </c>
    </row>
    <row r="83" spans="1:8" ht="47.25">
      <c r="A83" s="271" t="s">
        <v>272</v>
      </c>
      <c r="B83" s="249" t="s">
        <v>47</v>
      </c>
      <c r="C83" s="239">
        <v>97.508</v>
      </c>
      <c r="D83" s="239">
        <f>D82/D84/C82*10000</f>
        <v>117.13269226568464</v>
      </c>
      <c r="E83" s="239">
        <f>E82/E84/D82*10000</f>
        <v>88.68220031985835</v>
      </c>
      <c r="F83" s="239">
        <f>F82/F84/E82*10000</f>
        <v>100.93457943925235</v>
      </c>
      <c r="G83" s="239">
        <f>G82/G84/F82*10000</f>
        <v>105.66037735849058</v>
      </c>
      <c r="H83" s="239">
        <f>H82/H84/G82*10000</f>
        <v>105.66037735849058</v>
      </c>
    </row>
    <row r="84" spans="1:8" ht="47.25">
      <c r="A84" s="271" t="s">
        <v>714</v>
      </c>
      <c r="B84" s="249" t="s">
        <v>47</v>
      </c>
      <c r="C84" s="239">
        <v>103.9</v>
      </c>
      <c r="D84" s="239">
        <v>103.9</v>
      </c>
      <c r="E84" s="239">
        <v>117</v>
      </c>
      <c r="F84" s="239">
        <v>107</v>
      </c>
      <c r="G84" s="239">
        <v>106</v>
      </c>
      <c r="H84" s="239">
        <v>106</v>
      </c>
    </row>
    <row r="85" spans="1:8" ht="62.25" customHeight="1">
      <c r="A85" s="272" t="s">
        <v>926</v>
      </c>
      <c r="B85" s="263"/>
      <c r="C85" s="239"/>
      <c r="D85" s="239"/>
      <c r="E85" s="239"/>
      <c r="F85" s="239"/>
      <c r="G85" s="239"/>
      <c r="H85" s="239"/>
    </row>
    <row r="86" spans="1:8" ht="47.25">
      <c r="A86" s="271" t="s">
        <v>119</v>
      </c>
      <c r="B86" s="249" t="s">
        <v>937</v>
      </c>
      <c r="C86" s="239">
        <v>871.13641634387</v>
      </c>
      <c r="D86" s="239">
        <v>779.811</v>
      </c>
      <c r="E86" s="239">
        <v>683.78507346</v>
      </c>
      <c r="F86" s="239">
        <v>624.0141718310628</v>
      </c>
      <c r="G86" s="239">
        <v>668.194375196702</v>
      </c>
      <c r="H86" s="239">
        <v>715.5693563981482</v>
      </c>
    </row>
    <row r="87" spans="1:8" ht="47.25">
      <c r="A87" s="271" t="s">
        <v>272</v>
      </c>
      <c r="B87" s="249" t="s">
        <v>47</v>
      </c>
      <c r="C87" s="239">
        <v>98.363</v>
      </c>
      <c r="D87" s="239">
        <f>D86/D88/C86*10000</f>
        <v>86.1564191521411</v>
      </c>
      <c r="E87" s="239">
        <f>E86/E88/D86*10000</f>
        <v>74.94529914529915</v>
      </c>
      <c r="F87" s="239">
        <f>F86/F88/E86*10000</f>
        <v>85.28861442447108</v>
      </c>
      <c r="G87" s="239">
        <f>G86/G88/F86*10000</f>
        <v>101.0188679245283</v>
      </c>
      <c r="H87" s="239">
        <f>H86/H88/G86*10000</f>
        <v>101.02830188679245</v>
      </c>
    </row>
    <row r="88" spans="1:8" ht="47.25">
      <c r="A88" s="271" t="s">
        <v>714</v>
      </c>
      <c r="B88" s="249" t="s">
        <v>47</v>
      </c>
      <c r="C88" s="239">
        <v>103.9</v>
      </c>
      <c r="D88" s="239">
        <v>103.9</v>
      </c>
      <c r="E88" s="239">
        <v>117</v>
      </c>
      <c r="F88" s="239">
        <v>107</v>
      </c>
      <c r="G88" s="239">
        <v>106</v>
      </c>
      <c r="H88" s="239">
        <v>106</v>
      </c>
    </row>
    <row r="89" spans="1:8" ht="58.5">
      <c r="A89" s="272" t="s">
        <v>927</v>
      </c>
      <c r="B89" s="263"/>
      <c r="C89" s="239"/>
      <c r="D89" s="239"/>
      <c r="E89" s="239"/>
      <c r="F89" s="239"/>
      <c r="G89" s="239"/>
      <c r="H89" s="239"/>
    </row>
    <row r="90" spans="1:8" ht="47.25">
      <c r="A90" s="271" t="s">
        <v>119</v>
      </c>
      <c r="B90" s="249" t="s">
        <v>937</v>
      </c>
      <c r="C90" s="239">
        <v>0</v>
      </c>
      <c r="D90" s="239">
        <v>0</v>
      </c>
      <c r="E90" s="239">
        <v>0</v>
      </c>
      <c r="F90" s="239">
        <v>0</v>
      </c>
      <c r="G90" s="239">
        <v>0</v>
      </c>
      <c r="H90" s="239">
        <v>0</v>
      </c>
    </row>
    <row r="91" spans="1:8" ht="47.25">
      <c r="A91" s="271" t="s">
        <v>272</v>
      </c>
      <c r="B91" s="249" t="s">
        <v>47</v>
      </c>
      <c r="C91" s="239"/>
      <c r="D91" s="239"/>
      <c r="E91" s="239"/>
      <c r="F91" s="239"/>
      <c r="G91" s="239"/>
      <c r="H91" s="239"/>
    </row>
    <row r="92" spans="1:8" ht="47.25">
      <c r="A92" s="271" t="s">
        <v>714</v>
      </c>
      <c r="B92" s="249" t="s">
        <v>47</v>
      </c>
      <c r="C92" s="239"/>
      <c r="D92" s="239"/>
      <c r="E92" s="239"/>
      <c r="F92" s="239"/>
      <c r="G92" s="239"/>
      <c r="H92" s="239"/>
    </row>
    <row r="93" spans="1:8" ht="19.5">
      <c r="A93" s="272" t="s">
        <v>928</v>
      </c>
      <c r="B93" s="263"/>
      <c r="C93" s="239"/>
      <c r="D93" s="239"/>
      <c r="E93" s="239"/>
      <c r="F93" s="239"/>
      <c r="G93" s="239"/>
      <c r="H93" s="239"/>
    </row>
    <row r="94" spans="1:9" ht="47.25">
      <c r="A94" s="271" t="s">
        <v>119</v>
      </c>
      <c r="B94" s="249" t="s">
        <v>937</v>
      </c>
      <c r="C94" s="239">
        <v>91.11284923212</v>
      </c>
      <c r="D94" s="239">
        <v>148.355</v>
      </c>
      <c r="E94" s="239">
        <v>170.46458194361082</v>
      </c>
      <c r="F94" s="239">
        <v>184.1017484990997</v>
      </c>
      <c r="G94" s="239">
        <v>204.3529408340007</v>
      </c>
      <c r="H94" s="239">
        <v>228.8752937340808</v>
      </c>
      <c r="I94" s="235">
        <v>263.2065877941929</v>
      </c>
    </row>
    <row r="95" spans="1:8" ht="47.25">
      <c r="A95" s="271" t="s">
        <v>272</v>
      </c>
      <c r="B95" s="249" t="s">
        <v>47</v>
      </c>
      <c r="C95" s="239">
        <v>102.558</v>
      </c>
      <c r="D95" s="239">
        <f>D94/D96/C94*10000</f>
        <v>154.33701642050687</v>
      </c>
      <c r="E95" s="239">
        <f>E94/E96/D94*10000</f>
        <v>94.9612886576847</v>
      </c>
      <c r="F95" s="239">
        <f>F94/F96/E94*10000</f>
        <v>99.08256880733944</v>
      </c>
      <c r="G95" s="239">
        <f>G94/G96/F94*10000</f>
        <v>103.73831775700936</v>
      </c>
      <c r="H95" s="239">
        <f>H94/H96/G94*10000</f>
        <v>104.67289719626169</v>
      </c>
    </row>
    <row r="96" spans="1:8" ht="47.25">
      <c r="A96" s="271" t="s">
        <v>714</v>
      </c>
      <c r="B96" s="249" t="s">
        <v>47</v>
      </c>
      <c r="C96" s="239">
        <v>102.6</v>
      </c>
      <c r="D96" s="239">
        <v>105.5</v>
      </c>
      <c r="E96" s="239">
        <v>121</v>
      </c>
      <c r="F96" s="239">
        <v>109</v>
      </c>
      <c r="G96" s="239">
        <v>107</v>
      </c>
      <c r="H96" s="239">
        <v>107</v>
      </c>
    </row>
    <row r="97" spans="1:8" ht="39">
      <c r="A97" s="272" t="s">
        <v>929</v>
      </c>
      <c r="B97" s="263"/>
      <c r="C97" s="239"/>
      <c r="D97" s="239"/>
      <c r="E97" s="239"/>
      <c r="F97" s="239"/>
      <c r="G97" s="239"/>
      <c r="H97" s="239"/>
    </row>
    <row r="98" spans="1:8" ht="47.25">
      <c r="A98" s="271" t="s">
        <v>119</v>
      </c>
      <c r="B98" s="249" t="s">
        <v>397</v>
      </c>
      <c r="C98" s="239">
        <v>184.49870883696</v>
      </c>
      <c r="D98" s="239">
        <v>131.292</v>
      </c>
      <c r="E98" s="239">
        <v>133.25485920166744</v>
      </c>
      <c r="F98" s="239">
        <v>141.25015075376749</v>
      </c>
      <c r="G98" s="239">
        <v>153.53891386934527</v>
      </c>
      <c r="H98" s="239">
        <v>168.87745136489286</v>
      </c>
    </row>
    <row r="99" spans="1:8" ht="47.25">
      <c r="A99" s="271" t="s">
        <v>272</v>
      </c>
      <c r="B99" s="249" t="s">
        <v>47</v>
      </c>
      <c r="C99" s="239">
        <v>89.062</v>
      </c>
      <c r="D99" s="239">
        <f>D98/D100/C98*10000</f>
        <v>67.45163375365519</v>
      </c>
      <c r="E99" s="239">
        <f>E98/E100/D98*10000</f>
        <v>86.45232824703844</v>
      </c>
      <c r="F99" s="239">
        <f>F98/F100/E98*10000</f>
        <v>102.2179363548698</v>
      </c>
      <c r="G99" s="239">
        <f>G98/G100/F98*10000</f>
        <v>106.15234375000001</v>
      </c>
      <c r="H99" s="239">
        <f>H98/H100/G98*10000</f>
        <v>106.0332627666015</v>
      </c>
    </row>
    <row r="100" spans="1:8" ht="47.25">
      <c r="A100" s="271" t="s">
        <v>714</v>
      </c>
      <c r="B100" s="249" t="s">
        <v>47</v>
      </c>
      <c r="C100" s="239">
        <v>102.6</v>
      </c>
      <c r="D100" s="239">
        <v>105.5</v>
      </c>
      <c r="E100" s="239">
        <v>117.4</v>
      </c>
      <c r="F100" s="239">
        <v>103.7</v>
      </c>
      <c r="G100" s="239">
        <v>102.4</v>
      </c>
      <c r="H100" s="239">
        <v>103.7316</v>
      </c>
    </row>
    <row r="101" spans="1:8" ht="36.75" customHeight="1">
      <c r="A101" s="272" t="s">
        <v>930</v>
      </c>
      <c r="B101" s="263"/>
      <c r="C101" s="239"/>
      <c r="D101" s="239"/>
      <c r="E101" s="239"/>
      <c r="F101" s="239"/>
      <c r="G101" s="239"/>
      <c r="H101" s="239"/>
    </row>
    <row r="102" spans="1:8" ht="47.25">
      <c r="A102" s="271" t="s">
        <v>119</v>
      </c>
      <c r="B102" s="249" t="s">
        <v>937</v>
      </c>
      <c r="C102" s="239">
        <v>0</v>
      </c>
      <c r="D102" s="239">
        <v>0</v>
      </c>
      <c r="E102" s="239">
        <v>0</v>
      </c>
      <c r="F102" s="239">
        <v>0</v>
      </c>
      <c r="G102" s="239">
        <v>0</v>
      </c>
      <c r="H102" s="239">
        <v>0</v>
      </c>
    </row>
    <row r="103" spans="1:8" ht="47.25">
      <c r="A103" s="271" t="s">
        <v>272</v>
      </c>
      <c r="B103" s="249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1" t="s">
        <v>714</v>
      </c>
      <c r="B104" s="249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931</v>
      </c>
      <c r="B105" s="263"/>
      <c r="C105" s="239"/>
      <c r="D105" s="239"/>
      <c r="E105" s="239"/>
      <c r="F105" s="239"/>
      <c r="G105" s="239"/>
      <c r="H105" s="239"/>
    </row>
    <row r="106" spans="1:9" ht="47.25">
      <c r="A106" s="271" t="s">
        <v>119</v>
      </c>
      <c r="B106" s="249" t="s">
        <v>937</v>
      </c>
      <c r="C106" s="239">
        <v>725.112</v>
      </c>
      <c r="D106" s="239">
        <v>916.7980000000001</v>
      </c>
      <c r="E106" s="239">
        <v>1017.6457800000002</v>
      </c>
      <c r="F106" s="239">
        <v>1078.7045268000002</v>
      </c>
      <c r="G106" s="239">
        <v>1154.2138436760004</v>
      </c>
      <c r="H106" s="239">
        <v>1200.3823974230404</v>
      </c>
      <c r="I106" s="235">
        <v>1248.3976933199622</v>
      </c>
    </row>
    <row r="107" spans="1:8" ht="47.25">
      <c r="A107" s="271" t="s">
        <v>272</v>
      </c>
      <c r="B107" s="249" t="s">
        <v>47</v>
      </c>
      <c r="C107" s="239">
        <v>100.567</v>
      </c>
      <c r="D107" s="239">
        <f>D106/D108/C106*10000</f>
        <v>121.57246583445573</v>
      </c>
      <c r="E107" s="239">
        <f>E106/E108/D106*10000</f>
        <v>101.83486238532112</v>
      </c>
      <c r="F107" s="239">
        <f>F106/F108/E106*10000</f>
        <v>101.92307692307692</v>
      </c>
      <c r="G107" s="239">
        <f>G106/G108/F106*10000</f>
        <v>102.88461538461542</v>
      </c>
      <c r="H107" s="239">
        <f>H106/H108/G106*10000</f>
        <v>100.97087378640778</v>
      </c>
    </row>
    <row r="108" spans="1:8" ht="47.25">
      <c r="A108" s="271" t="s">
        <v>714</v>
      </c>
      <c r="B108" s="249" t="s">
        <v>47</v>
      </c>
      <c r="C108" s="239">
        <v>103.2</v>
      </c>
      <c r="D108" s="239">
        <v>104</v>
      </c>
      <c r="E108" s="239">
        <v>109</v>
      </c>
      <c r="F108" s="239">
        <v>104</v>
      </c>
      <c r="G108" s="239">
        <v>104</v>
      </c>
      <c r="H108" s="239">
        <v>103</v>
      </c>
    </row>
    <row r="109" spans="1:8" ht="74.25" customHeight="1">
      <c r="A109" s="226" t="s">
        <v>932</v>
      </c>
      <c r="B109" s="263"/>
      <c r="C109" s="239"/>
      <c r="D109" s="239"/>
      <c r="E109" s="239"/>
      <c r="F109" s="239"/>
      <c r="G109" s="239"/>
      <c r="H109" s="239"/>
    </row>
    <row r="110" spans="1:8" ht="47.25" customHeight="1">
      <c r="A110" s="271" t="s">
        <v>119</v>
      </c>
      <c r="B110" s="249" t="s">
        <v>937</v>
      </c>
      <c r="C110" s="239">
        <v>275.119</v>
      </c>
      <c r="D110" s="239">
        <v>219.831</v>
      </c>
      <c r="E110" s="239">
        <v>189.05465999999998</v>
      </c>
      <c r="F110" s="239">
        <v>179.601927</v>
      </c>
      <c r="G110" s="239">
        <v>170.62183065</v>
      </c>
      <c r="H110" s="239">
        <v>172.3280489565</v>
      </c>
    </row>
    <row r="111" spans="1:8" ht="49.5" customHeight="1">
      <c r="A111" s="271" t="s">
        <v>272</v>
      </c>
      <c r="B111" s="249" t="s">
        <v>47</v>
      </c>
      <c r="C111" s="239">
        <v>64.58817901968209</v>
      </c>
      <c r="D111" s="239">
        <f>D110/D112/C110*10000</f>
        <v>76.97877536419499</v>
      </c>
      <c r="E111" s="239">
        <f>E110/E112/D110*10000</f>
        <v>79.62962962962962</v>
      </c>
      <c r="F111" s="239">
        <f>F110/F112/E110*10000</f>
        <v>91.34615384615385</v>
      </c>
      <c r="G111" s="239">
        <f>G110/G112/F110*10000</f>
        <v>91.34615384615385</v>
      </c>
      <c r="H111" s="239">
        <f>H110/H112/G110*10000</f>
        <v>98.05825242718447</v>
      </c>
    </row>
    <row r="112" spans="1:8" ht="49.5" customHeight="1">
      <c r="A112" s="271" t="s">
        <v>714</v>
      </c>
      <c r="B112" s="249" t="s">
        <v>47</v>
      </c>
      <c r="C112" s="239">
        <v>105</v>
      </c>
      <c r="D112" s="239">
        <v>103.8</v>
      </c>
      <c r="E112" s="239">
        <v>108</v>
      </c>
      <c r="F112" s="239">
        <v>104</v>
      </c>
      <c r="G112" s="239">
        <v>104</v>
      </c>
      <c r="H112" s="239">
        <v>103</v>
      </c>
    </row>
    <row r="113" spans="1:8" ht="32.25" customHeight="1">
      <c r="A113" s="268" t="s">
        <v>288</v>
      </c>
      <c r="B113" s="263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289</v>
      </c>
      <c r="B114" s="263" t="s">
        <v>939</v>
      </c>
      <c r="C114" s="239">
        <v>0</v>
      </c>
      <c r="D114" s="239">
        <v>0</v>
      </c>
      <c r="E114" s="239">
        <v>0</v>
      </c>
      <c r="F114" s="239">
        <v>0</v>
      </c>
      <c r="G114" s="239">
        <v>0</v>
      </c>
      <c r="H114" s="239">
        <v>0</v>
      </c>
    </row>
    <row r="115" spans="1:8" ht="68.25" customHeight="1">
      <c r="A115" s="227" t="s">
        <v>136</v>
      </c>
      <c r="B115" s="263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1" t="s">
        <v>714</v>
      </c>
      <c r="B116" s="249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68" t="s">
        <v>290</v>
      </c>
      <c r="B117" s="263"/>
      <c r="C117" s="239"/>
      <c r="D117" s="239"/>
      <c r="E117" s="239"/>
      <c r="F117" s="239"/>
      <c r="G117" s="239"/>
      <c r="H117" s="239"/>
    </row>
    <row r="118" spans="1:8" ht="45">
      <c r="A118" s="225" t="s">
        <v>239</v>
      </c>
      <c r="B118" s="263" t="s">
        <v>939</v>
      </c>
      <c r="C118" s="239">
        <v>4592.7</v>
      </c>
      <c r="D118" s="239">
        <f>5927292.2/1000</f>
        <v>5927.2922</v>
      </c>
      <c r="E118" s="239">
        <f>D118*1.12</f>
        <v>6638.567264</v>
      </c>
      <c r="F118" s="239">
        <f>E118*1.1</f>
        <v>7302.423990400001</v>
      </c>
      <c r="G118" s="239">
        <f>F118*1.08</f>
        <v>7886.617909632001</v>
      </c>
      <c r="H118" s="239">
        <f>G118*1.07</f>
        <v>8438.681163306243</v>
      </c>
    </row>
    <row r="119" spans="1:8" ht="64.5" customHeight="1">
      <c r="A119" s="225"/>
      <c r="B119" s="263" t="s">
        <v>60</v>
      </c>
      <c r="C119" s="239">
        <v>83.805</v>
      </c>
      <c r="D119" s="239">
        <f>D118/D120/C118*10000</f>
        <v>119.4893279673264</v>
      </c>
      <c r="E119" s="239">
        <f>E118/E120/D118*10000</f>
        <v>94.35551811288965</v>
      </c>
      <c r="F119" s="239">
        <f>F118/F120/E118*10000</f>
        <v>99.86209951893704</v>
      </c>
      <c r="G119" s="239">
        <f>G118/G120/F118*10000</f>
        <v>102.89987080349556</v>
      </c>
      <c r="H119" s="239">
        <f>H118/H120/G118*10000</f>
        <v>102.69975582413197</v>
      </c>
    </row>
    <row r="120" spans="1:8" ht="52.5" customHeight="1">
      <c r="A120" s="271" t="s">
        <v>714</v>
      </c>
      <c r="B120" s="249" t="s">
        <v>47</v>
      </c>
      <c r="C120" s="239">
        <v>103.4</v>
      </c>
      <c r="D120" s="239">
        <v>108.0088</v>
      </c>
      <c r="E120" s="239">
        <v>118.7</v>
      </c>
      <c r="F120" s="239">
        <v>110.1519</v>
      </c>
      <c r="G120" s="239">
        <v>104.9564</v>
      </c>
      <c r="H120" s="239">
        <v>104.1872</v>
      </c>
    </row>
    <row r="121" spans="1:8" ht="45" customHeight="1">
      <c r="A121" s="225" t="s">
        <v>644</v>
      </c>
      <c r="B121" s="263" t="s">
        <v>939</v>
      </c>
      <c r="C121" s="239">
        <v>2294.5</v>
      </c>
      <c r="D121" s="239">
        <v>2428</v>
      </c>
      <c r="E121" s="239">
        <f>D121*1.06</f>
        <v>2573.6800000000003</v>
      </c>
      <c r="F121" s="239">
        <f>E121*1.07</f>
        <v>2753.8376000000003</v>
      </c>
      <c r="G121" s="239">
        <f>F121*1.07</f>
        <v>2946.6062320000005</v>
      </c>
      <c r="H121" s="239">
        <f>G121*1.06</f>
        <v>3123.402605920001</v>
      </c>
    </row>
    <row r="122" spans="1:8" ht="58.5" customHeight="1">
      <c r="A122" s="227"/>
      <c r="B122" s="263" t="s">
        <v>60</v>
      </c>
      <c r="C122" s="239">
        <v>77.78625307229426</v>
      </c>
      <c r="D122" s="239">
        <f>D121/D123/C121*10000</f>
        <v>101.44545473279705</v>
      </c>
      <c r="E122" s="239">
        <f>E121/E123/D121*10000</f>
        <v>96.45131938125569</v>
      </c>
      <c r="F122" s="239">
        <f>F121/F123/E121*10000</f>
        <v>100.43053726583024</v>
      </c>
      <c r="G122" s="239">
        <f>G121/G123/F121*10000</f>
        <v>102.55997362195819</v>
      </c>
      <c r="H122" s="239">
        <f>H121/H123/G121*10000</f>
        <v>101.601177040051</v>
      </c>
    </row>
    <row r="123" spans="1:8" ht="44.25" customHeight="1">
      <c r="A123" s="271" t="s">
        <v>714</v>
      </c>
      <c r="B123" s="249" t="s">
        <v>47</v>
      </c>
      <c r="C123" s="239">
        <v>103.5</v>
      </c>
      <c r="D123" s="239">
        <v>104.3105</v>
      </c>
      <c r="E123" s="239">
        <v>109.9</v>
      </c>
      <c r="F123" s="239">
        <v>106.5413</v>
      </c>
      <c r="G123" s="239">
        <v>104.3292</v>
      </c>
      <c r="H123" s="239">
        <v>104.3295</v>
      </c>
    </row>
    <row r="124" spans="1:8" ht="27" customHeight="1">
      <c r="A124" s="268" t="s">
        <v>301</v>
      </c>
      <c r="B124" s="263"/>
      <c r="C124" s="239"/>
      <c r="D124" s="239"/>
      <c r="E124" s="239"/>
      <c r="F124" s="239"/>
      <c r="G124" s="239"/>
      <c r="H124" s="239"/>
    </row>
    <row r="125" spans="1:9" ht="56.25">
      <c r="A125" s="229" t="s">
        <v>292</v>
      </c>
      <c r="B125" s="263" t="s">
        <v>939</v>
      </c>
      <c r="C125" s="239">
        <v>156.386</v>
      </c>
      <c r="D125" s="239">
        <v>182.97161999999997</v>
      </c>
      <c r="E125" s="239">
        <f>D125*1.06</f>
        <v>193.9499172</v>
      </c>
      <c r="F125" s="239">
        <f>E125*1.05</f>
        <v>203.64741306</v>
      </c>
      <c r="G125" s="239">
        <f>F125*1.04</f>
        <v>211.79330958239998</v>
      </c>
      <c r="H125" s="239">
        <f>G125*1.04</f>
        <v>220.26504196569599</v>
      </c>
      <c r="I125" s="240"/>
    </row>
    <row r="126" spans="1:9" ht="69.75" customHeight="1">
      <c r="A126" s="229"/>
      <c r="B126" s="263" t="s">
        <v>60</v>
      </c>
      <c r="C126" s="239">
        <v>87.695</v>
      </c>
      <c r="D126" s="239">
        <f>D125/D127/C125*10000</f>
        <v>111.49716873428794</v>
      </c>
      <c r="E126" s="239">
        <f>E125/E127/D125*10000</f>
        <v>95.15260323159785</v>
      </c>
      <c r="F126" s="239">
        <f>F125/F127/E125*10000</f>
        <v>98.31460674157303</v>
      </c>
      <c r="G126" s="239">
        <f>G125/G127/F125*10000</f>
        <v>98.76543209876544</v>
      </c>
      <c r="H126" s="239">
        <f>H125/H127/G125*10000</f>
        <v>99.23664122137404</v>
      </c>
      <c r="I126" s="240"/>
    </row>
    <row r="127" spans="1:9" ht="47.25">
      <c r="A127" s="271" t="s">
        <v>714</v>
      </c>
      <c r="B127" s="249" t="s">
        <v>47</v>
      </c>
      <c r="C127" s="239">
        <v>104.9</v>
      </c>
      <c r="D127" s="239">
        <v>104.9354</v>
      </c>
      <c r="E127" s="239">
        <v>111.4</v>
      </c>
      <c r="F127" s="239">
        <v>106.8</v>
      </c>
      <c r="G127" s="239">
        <v>105.3</v>
      </c>
      <c r="H127" s="239">
        <v>104.8</v>
      </c>
      <c r="I127" s="240"/>
    </row>
    <row r="128" spans="1:9" ht="56.25">
      <c r="A128" s="229" t="s">
        <v>646</v>
      </c>
      <c r="B128" s="267" t="s">
        <v>435</v>
      </c>
      <c r="C128" s="239">
        <v>20.6038</v>
      </c>
      <c r="D128" s="239">
        <f>7461/1000</f>
        <v>7.461</v>
      </c>
      <c r="E128" s="239">
        <f>7834/1000</f>
        <v>7.834</v>
      </c>
      <c r="F128" s="239">
        <f>8494/1000</f>
        <v>8.494</v>
      </c>
      <c r="G128" s="239">
        <f>8367/1000</f>
        <v>8.367</v>
      </c>
      <c r="H128" s="239">
        <f>AVERAGE(E128:G128)</f>
        <v>8.231666666666667</v>
      </c>
      <c r="I128" s="240"/>
    </row>
    <row r="129" spans="1:9" ht="36.75" customHeight="1">
      <c r="A129" s="274"/>
      <c r="B129" s="267" t="s">
        <v>47</v>
      </c>
      <c r="C129" s="239">
        <v>285.933553526326</v>
      </c>
      <c r="D129" s="239">
        <f>D128/C128*100</f>
        <v>36.21176676147119</v>
      </c>
      <c r="E129" s="239">
        <f>E128/D128*100</f>
        <v>104.99932984854577</v>
      </c>
      <c r="F129" s="239">
        <f>F128/E128*100</f>
        <v>108.42481490936942</v>
      </c>
      <c r="G129" s="239">
        <f>G128/F128*100</f>
        <v>98.50482693666119</v>
      </c>
      <c r="H129" s="239">
        <f>H128/G128*100</f>
        <v>98.38253456037607</v>
      </c>
      <c r="I129" s="240"/>
    </row>
    <row r="130" spans="1:8" ht="26.25" customHeight="1">
      <c r="A130" s="268" t="s">
        <v>291</v>
      </c>
      <c r="B130" s="263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281</v>
      </c>
      <c r="B131" s="263" t="s">
        <v>939</v>
      </c>
      <c r="C131" s="239">
        <v>1276.356</v>
      </c>
      <c r="D131" s="239">
        <f>D135+D136</f>
        <v>1020.1616100000001</v>
      </c>
      <c r="E131" s="239">
        <f>E135+E136</f>
        <v>1790.0483439999998</v>
      </c>
      <c r="F131" s="239">
        <f>F135+F136</f>
        <v>2168.6123826</v>
      </c>
      <c r="G131" s="239">
        <f>G135+G136</f>
        <v>2164.34559</v>
      </c>
      <c r="H131" s="239">
        <f>H135+H136</f>
        <v>962.544</v>
      </c>
    </row>
    <row r="132" spans="1:8" ht="62.25" customHeight="1">
      <c r="A132" s="227"/>
      <c r="B132" s="263" t="s">
        <v>60</v>
      </c>
      <c r="C132" s="239">
        <v>126.11141740919248</v>
      </c>
      <c r="D132" s="239">
        <f>D131/D133/C131*10000</f>
        <v>76.04916257507223</v>
      </c>
      <c r="E132" s="239">
        <f>E131/E133/D131*10000</f>
        <v>157.51089269933354</v>
      </c>
      <c r="F132" s="239">
        <f>F131/F133/E131*10000</f>
        <v>113.43469831807207</v>
      </c>
      <c r="G132" s="239">
        <f>G131/G133/F131*10000</f>
        <v>94.77991243943003</v>
      </c>
      <c r="H132" s="239">
        <f>H131/H133/G131*10000</f>
        <v>42.43583000380155</v>
      </c>
    </row>
    <row r="133" spans="1:8" ht="56.25" customHeight="1">
      <c r="A133" s="271" t="s">
        <v>714</v>
      </c>
      <c r="B133" s="249" t="s">
        <v>47</v>
      </c>
      <c r="C133" s="239">
        <v>106.2</v>
      </c>
      <c r="D133" s="239">
        <v>105.1</v>
      </c>
      <c r="E133" s="239">
        <v>111.4</v>
      </c>
      <c r="F133" s="239">
        <v>106.8</v>
      </c>
      <c r="G133" s="239">
        <v>105.3</v>
      </c>
      <c r="H133" s="239">
        <v>104.8</v>
      </c>
    </row>
    <row r="134" spans="1:8" ht="56.25" customHeight="1">
      <c r="A134" s="298" t="s">
        <v>909</v>
      </c>
      <c r="B134" s="263" t="s">
        <v>939</v>
      </c>
      <c r="C134" s="239">
        <f>C131-C140</f>
        <v>814.35218</v>
      </c>
      <c r="D134" s="239">
        <v>765.6</v>
      </c>
      <c r="E134" s="239">
        <v>500.9000000000001</v>
      </c>
      <c r="F134" s="239">
        <v>339.77</v>
      </c>
      <c r="G134" s="239">
        <v>900.8</v>
      </c>
      <c r="H134" s="239">
        <f>0.68*G134</f>
        <v>612.544</v>
      </c>
    </row>
    <row r="135" spans="1:8" ht="45">
      <c r="A135" s="298" t="s">
        <v>166</v>
      </c>
      <c r="B135" s="263" t="s">
        <v>939</v>
      </c>
      <c r="C135" s="239">
        <v>785.9</v>
      </c>
      <c r="D135" s="239">
        <f>D134-D139</f>
        <v>733.157</v>
      </c>
      <c r="E135" s="239">
        <f>E134-E139</f>
        <v>461.6439700000001</v>
      </c>
      <c r="F135" s="239">
        <f>F134-F139</f>
        <v>286.7743595</v>
      </c>
      <c r="G135" s="239">
        <f>G134-G139</f>
        <v>614.6235412999999</v>
      </c>
      <c r="H135" s="239">
        <f>H134-H139</f>
        <v>306.3351891909999</v>
      </c>
    </row>
    <row r="136" spans="1:8" ht="45">
      <c r="A136" s="275" t="s">
        <v>167</v>
      </c>
      <c r="B136" s="263" t="s">
        <v>939</v>
      </c>
      <c r="C136" s="239">
        <f>SUM(C137,C139,C140)</f>
        <v>490.456</v>
      </c>
      <c r="D136" s="239">
        <f>SUM(D139,D140)</f>
        <v>287.00461</v>
      </c>
      <c r="E136" s="239">
        <f>SUM(E139,E140)</f>
        <v>1328.4043739999997</v>
      </c>
      <c r="F136" s="239">
        <f>SUM(F139,F140)</f>
        <v>1881.8380230999999</v>
      </c>
      <c r="G136" s="239">
        <f>SUM(G139,G140)</f>
        <v>1549.7220487</v>
      </c>
      <c r="H136" s="239">
        <f>SUM(H139,H140)</f>
        <v>656.208810809</v>
      </c>
    </row>
    <row r="137" spans="1:8" ht="45">
      <c r="A137" s="227" t="s">
        <v>168</v>
      </c>
      <c r="B137" s="263" t="s">
        <v>939</v>
      </c>
      <c r="C137" s="239">
        <v>0</v>
      </c>
      <c r="D137" s="239">
        <v>0</v>
      </c>
      <c r="E137" s="239">
        <v>0</v>
      </c>
      <c r="F137" s="239">
        <v>0</v>
      </c>
      <c r="G137" s="239">
        <v>0</v>
      </c>
      <c r="H137" s="239">
        <v>0</v>
      </c>
    </row>
    <row r="138" spans="1:8" ht="45">
      <c r="A138" s="227" t="s">
        <v>584</v>
      </c>
      <c r="B138" s="263" t="s">
        <v>939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63" t="s">
        <v>939</v>
      </c>
      <c r="C139" s="239">
        <v>28.45218</v>
      </c>
      <c r="D139" s="239">
        <v>32.443</v>
      </c>
      <c r="E139" s="239">
        <f>D139*1.21</f>
        <v>39.256029999999996</v>
      </c>
      <c r="F139" s="239">
        <f>E139*1.35</f>
        <v>52.9956405</v>
      </c>
      <c r="G139" s="239">
        <f>F139*5.4</f>
        <v>286.1764587</v>
      </c>
      <c r="H139" s="239">
        <f>G139*1.07</f>
        <v>306.20881080900006</v>
      </c>
    </row>
    <row r="140" spans="1:8" ht="45">
      <c r="A140" s="227" t="s">
        <v>170</v>
      </c>
      <c r="B140" s="263" t="s">
        <v>939</v>
      </c>
      <c r="C140" s="239">
        <v>462.00382</v>
      </c>
      <c r="D140" s="239">
        <f>SUM(D142:D144)</f>
        <v>254.56161</v>
      </c>
      <c r="E140" s="239">
        <f>SUM(E142:E144)</f>
        <v>1289.1483439999997</v>
      </c>
      <c r="F140" s="239">
        <f>SUM(F142:F144)</f>
        <v>1828.8423825999998</v>
      </c>
      <c r="G140" s="239">
        <f>SUM(G142:G144)</f>
        <v>1263.54559</v>
      </c>
      <c r="H140" s="239">
        <f>SUM(H142:H144)</f>
        <v>350</v>
      </c>
    </row>
    <row r="141" spans="1:8" ht="21.75" customHeight="1">
      <c r="A141" s="227" t="s">
        <v>531</v>
      </c>
      <c r="B141" s="263"/>
      <c r="C141" s="239"/>
      <c r="D141" s="239"/>
      <c r="E141" s="239"/>
      <c r="F141" s="239"/>
      <c r="G141" s="239"/>
      <c r="H141" s="239"/>
    </row>
    <row r="142" spans="1:8" ht="45">
      <c r="A142" s="230" t="s">
        <v>340</v>
      </c>
      <c r="B142" s="263" t="s">
        <v>939</v>
      </c>
      <c r="C142" s="239">
        <v>361.414</v>
      </c>
      <c r="D142" s="239">
        <f>SUM(D148,D153,D158,D163,D168,D173,D178,D183,D188,D193,D198,D203,D208,D213,D218)</f>
        <v>185.8236</v>
      </c>
      <c r="E142" s="239">
        <f>SUM(E148,E153,E158,E163,E168,E173,E178,E183,E188,E193,E198,E203,E208,E213,E218)</f>
        <v>1153.400325075669</v>
      </c>
      <c r="F142" s="239">
        <f>SUM(F148,F153,F158,F163,F168,F173,F178,F183,F188,F193,F198,F203,F208,F213,F218)</f>
        <v>1220.689929075669</v>
      </c>
      <c r="G142" s="239">
        <f>SUM(G148,G153,G158,G163,G168,G173,G178,G183,G188,G193,G198,G203,G208,G213,G218)</f>
        <v>962.5801048459448</v>
      </c>
      <c r="H142" s="239">
        <f>SUM(H148,H153,H158,H163,H168,H173,H178,H183,H188,H193,H198,H203,H208,H213,H218)</f>
        <v>219.96010484594484</v>
      </c>
    </row>
    <row r="143" spans="1:8" ht="45">
      <c r="A143" s="230" t="s">
        <v>171</v>
      </c>
      <c r="B143" s="263" t="s">
        <v>939</v>
      </c>
      <c r="C143" s="239">
        <v>66.47873999999999</v>
      </c>
      <c r="D143" s="239">
        <f aca="true" t="shared" si="3" ref="D143:H144">SUM(D149,D154,D159,D164,D169,D174,D179,D184,D189,D194,D199,D204,D209,D214,D219)</f>
        <v>52.67115</v>
      </c>
      <c r="E143" s="239">
        <f t="shared" si="3"/>
        <v>107.14944150643063</v>
      </c>
      <c r="F143" s="239">
        <f t="shared" si="3"/>
        <v>574.1183033464306</v>
      </c>
      <c r="G143" s="239">
        <f t="shared" si="3"/>
        <v>281.8673059177384</v>
      </c>
      <c r="H143" s="239">
        <f t="shared" si="3"/>
        <v>109.13790681773844</v>
      </c>
    </row>
    <row r="144" spans="1:8" ht="45">
      <c r="A144" s="230" t="s">
        <v>172</v>
      </c>
      <c r="B144" s="263" t="s">
        <v>939</v>
      </c>
      <c r="C144" s="239">
        <v>34.11108</v>
      </c>
      <c r="D144" s="239">
        <f t="shared" si="3"/>
        <v>16.06686</v>
      </c>
      <c r="E144" s="239">
        <f t="shared" si="3"/>
        <v>28.598577417900373</v>
      </c>
      <c r="F144" s="239">
        <f t="shared" si="3"/>
        <v>34.03415017790038</v>
      </c>
      <c r="G144" s="239">
        <f t="shared" si="3"/>
        <v>19.098179236316714</v>
      </c>
      <c r="H144" s="239">
        <f t="shared" si="3"/>
        <v>20.901988336316705</v>
      </c>
    </row>
    <row r="145" spans="1:8" ht="18.75">
      <c r="A145" s="299" t="s">
        <v>467</v>
      </c>
      <c r="B145" s="267"/>
      <c r="C145" s="239"/>
      <c r="D145" s="239"/>
      <c r="E145" s="239"/>
      <c r="F145" s="239"/>
      <c r="G145" s="239"/>
      <c r="H145" s="239"/>
    </row>
    <row r="146" spans="1:8" ht="75">
      <c r="A146" s="304" t="s">
        <v>957</v>
      </c>
      <c r="B146" s="305" t="s">
        <v>939</v>
      </c>
      <c r="C146" s="306">
        <f>SUM(C148:C150)</f>
        <v>87.3127</v>
      </c>
      <c r="D146" s="306">
        <f>SUM(D148:D150)</f>
        <v>9.00278</v>
      </c>
      <c r="E146" s="306">
        <f>SUM(E148:E150)</f>
        <v>0</v>
      </c>
      <c r="F146" s="306">
        <f>SUM(F148:F150)</f>
        <v>0</v>
      </c>
      <c r="G146" s="306">
        <f>SUM(G148:G150)</f>
        <v>0</v>
      </c>
      <c r="H146" s="306">
        <v>0</v>
      </c>
    </row>
    <row r="147" spans="1:8" ht="18.75">
      <c r="A147" s="275" t="s">
        <v>531</v>
      </c>
      <c r="B147" s="267"/>
      <c r="C147" s="239"/>
      <c r="D147" s="239"/>
      <c r="E147" s="239"/>
      <c r="F147" s="239"/>
      <c r="G147" s="239"/>
      <c r="H147" s="239"/>
    </row>
    <row r="148" spans="1:8" ht="45">
      <c r="A148" s="299" t="s">
        <v>340</v>
      </c>
      <c r="B148" s="267" t="s">
        <v>939</v>
      </c>
      <c r="C148" s="239">
        <v>53.1055</v>
      </c>
      <c r="D148" s="239">
        <v>5.4756</v>
      </c>
      <c r="E148" s="239">
        <v>0</v>
      </c>
      <c r="F148" s="239">
        <v>0</v>
      </c>
      <c r="G148" s="239">
        <v>0</v>
      </c>
      <c r="H148" s="239">
        <v>0</v>
      </c>
    </row>
    <row r="149" spans="1:8" ht="45">
      <c r="A149" s="299" t="s">
        <v>171</v>
      </c>
      <c r="B149" s="267" t="s">
        <v>939</v>
      </c>
      <c r="C149" s="239">
        <v>32.4888</v>
      </c>
      <c r="D149" s="239">
        <v>3.34985</v>
      </c>
      <c r="E149" s="239">
        <v>0</v>
      </c>
      <c r="F149" s="239">
        <v>0</v>
      </c>
      <c r="G149" s="239">
        <v>0</v>
      </c>
      <c r="H149" s="239">
        <v>0</v>
      </c>
    </row>
    <row r="150" spans="1:8" ht="45">
      <c r="A150" s="299" t="s">
        <v>172</v>
      </c>
      <c r="B150" s="267" t="s">
        <v>939</v>
      </c>
      <c r="C150" s="239">
        <v>1.7184</v>
      </c>
      <c r="D150" s="239">
        <v>0.17733</v>
      </c>
      <c r="E150" s="239">
        <v>0</v>
      </c>
      <c r="F150" s="239">
        <v>0</v>
      </c>
      <c r="G150" s="239">
        <v>0</v>
      </c>
      <c r="H150" s="239">
        <v>0</v>
      </c>
    </row>
    <row r="151" spans="1:8" ht="56.25">
      <c r="A151" s="304" t="s">
        <v>958</v>
      </c>
      <c r="B151" s="305" t="s">
        <v>939</v>
      </c>
      <c r="C151" s="306">
        <f>SUM(C153:C155)</f>
        <v>34.98498</v>
      </c>
      <c r="D151" s="306">
        <f>SUM(D153:D155)</f>
        <v>0</v>
      </c>
      <c r="E151" s="306">
        <f>SUM(E153:E155)</f>
        <v>0</v>
      </c>
      <c r="F151" s="306">
        <f>SUM(F153:F155)</f>
        <v>0</v>
      </c>
      <c r="G151" s="306">
        <f>SUM(G153:G155)</f>
        <v>0</v>
      </c>
      <c r="H151" s="306">
        <v>0</v>
      </c>
    </row>
    <row r="152" spans="1:8" ht="18.75">
      <c r="A152" s="275" t="s">
        <v>531</v>
      </c>
      <c r="B152" s="267"/>
      <c r="C152" s="239"/>
      <c r="D152" s="239"/>
      <c r="E152" s="239"/>
      <c r="F152" s="239"/>
      <c r="G152" s="239"/>
      <c r="H152" s="239"/>
    </row>
    <row r="153" spans="1:8" ht="45">
      <c r="A153" s="299" t="s">
        <v>340</v>
      </c>
      <c r="B153" s="267" t="s">
        <v>939</v>
      </c>
      <c r="C153" s="239">
        <v>20.4109</v>
      </c>
      <c r="D153" s="239">
        <v>0</v>
      </c>
      <c r="E153" s="239">
        <v>0</v>
      </c>
      <c r="F153" s="239">
        <v>0</v>
      </c>
      <c r="G153" s="239">
        <v>0</v>
      </c>
      <c r="H153" s="239">
        <v>0</v>
      </c>
    </row>
    <row r="154" spans="1:8" ht="45">
      <c r="A154" s="299" t="s">
        <v>171</v>
      </c>
      <c r="B154" s="267" t="s">
        <v>939</v>
      </c>
      <c r="C154" s="239">
        <v>0.20617</v>
      </c>
      <c r="D154" s="239">
        <v>0</v>
      </c>
      <c r="E154" s="239">
        <v>0</v>
      </c>
      <c r="F154" s="239">
        <v>0</v>
      </c>
      <c r="G154" s="239">
        <v>0</v>
      </c>
      <c r="H154" s="239">
        <v>0</v>
      </c>
    </row>
    <row r="155" spans="1:8" ht="45">
      <c r="A155" s="299" t="s">
        <v>172</v>
      </c>
      <c r="B155" s="267" t="s">
        <v>939</v>
      </c>
      <c r="C155" s="239">
        <v>14.36791</v>
      </c>
      <c r="D155" s="239">
        <v>0</v>
      </c>
      <c r="E155" s="239">
        <v>0</v>
      </c>
      <c r="F155" s="239">
        <v>0</v>
      </c>
      <c r="G155" s="239">
        <v>0</v>
      </c>
      <c r="H155" s="239">
        <v>0</v>
      </c>
    </row>
    <row r="156" spans="1:8" ht="56.25">
      <c r="A156" s="304" t="s">
        <v>959</v>
      </c>
      <c r="B156" s="305" t="s">
        <v>939</v>
      </c>
      <c r="C156" s="306">
        <f>SUM(C158:C160)</f>
        <v>5.05263</v>
      </c>
      <c r="D156" s="306">
        <f>SUM(D158:D160)</f>
        <v>0</v>
      </c>
      <c r="E156" s="306">
        <f>SUM(E158:E160)</f>
        <v>0</v>
      </c>
      <c r="F156" s="306">
        <f>SUM(F158:F160)</f>
        <v>500</v>
      </c>
      <c r="G156" s="306">
        <f>SUM(G158:G160)</f>
        <v>0</v>
      </c>
      <c r="H156" s="306">
        <v>0</v>
      </c>
    </row>
    <row r="157" spans="1:8" ht="18.75">
      <c r="A157" s="275" t="s">
        <v>531</v>
      </c>
      <c r="B157" s="267"/>
      <c r="C157" s="239"/>
      <c r="D157" s="239"/>
      <c r="E157" s="239"/>
      <c r="F157" s="239"/>
      <c r="G157" s="239"/>
      <c r="H157" s="239"/>
    </row>
    <row r="158" spans="1:8" ht="45">
      <c r="A158" s="299" t="s">
        <v>340</v>
      </c>
      <c r="B158" s="267" t="s">
        <v>939</v>
      </c>
      <c r="C158" s="239">
        <v>0</v>
      </c>
      <c r="D158" s="239">
        <v>0</v>
      </c>
      <c r="E158" s="239">
        <v>0</v>
      </c>
      <c r="F158" s="239">
        <v>494.95</v>
      </c>
      <c r="G158" s="239">
        <v>0</v>
      </c>
      <c r="H158" s="239"/>
    </row>
    <row r="159" spans="1:8" ht="45">
      <c r="A159" s="299" t="s">
        <v>171</v>
      </c>
      <c r="B159" s="267" t="s">
        <v>939</v>
      </c>
      <c r="C159" s="239">
        <v>4.8</v>
      </c>
      <c r="D159" s="239">
        <v>0</v>
      </c>
      <c r="E159" s="239">
        <v>0</v>
      </c>
      <c r="F159" s="239">
        <v>5</v>
      </c>
      <c r="G159" s="239">
        <v>0</v>
      </c>
      <c r="H159" s="239"/>
    </row>
    <row r="160" spans="1:8" ht="45">
      <c r="A160" s="299" t="s">
        <v>172</v>
      </c>
      <c r="B160" s="267" t="s">
        <v>939</v>
      </c>
      <c r="C160" s="239">
        <v>0.25263</v>
      </c>
      <c r="D160" s="239">
        <v>0</v>
      </c>
      <c r="E160" s="239">
        <v>0</v>
      </c>
      <c r="F160" s="239">
        <v>0.05</v>
      </c>
      <c r="G160" s="239">
        <v>0</v>
      </c>
      <c r="H160" s="239"/>
    </row>
    <row r="161" spans="1:9" ht="45">
      <c r="A161" s="304" t="s">
        <v>960</v>
      </c>
      <c r="B161" s="305" t="s">
        <v>939</v>
      </c>
      <c r="C161" s="306">
        <f aca="true" t="shared" si="4" ref="C161:I161">SUM(C163:C165)</f>
        <v>130.81288</v>
      </c>
      <c r="D161" s="306">
        <f t="shared" si="4"/>
        <v>5.00263</v>
      </c>
      <c r="E161" s="306">
        <f t="shared" si="4"/>
        <v>59.99999999999999</v>
      </c>
      <c r="F161" s="306">
        <f t="shared" si="4"/>
        <v>59.99999999999999</v>
      </c>
      <c r="G161" s="306">
        <f t="shared" si="4"/>
        <v>10</v>
      </c>
      <c r="H161" s="306">
        <f t="shared" si="4"/>
        <v>10</v>
      </c>
      <c r="I161" s="306">
        <f t="shared" si="4"/>
        <v>0</v>
      </c>
    </row>
    <row r="162" spans="1:8" ht="18.75">
      <c r="A162" s="275" t="s">
        <v>531</v>
      </c>
      <c r="B162" s="267"/>
      <c r="C162" s="239"/>
      <c r="D162" s="239"/>
      <c r="E162" s="239"/>
      <c r="F162" s="239"/>
      <c r="G162" s="239"/>
      <c r="H162" s="239"/>
    </row>
    <row r="163" spans="1:8" ht="45">
      <c r="A163" s="299" t="s">
        <v>340</v>
      </c>
      <c r="B163" s="267" t="s">
        <v>939</v>
      </c>
      <c r="C163" s="239">
        <v>130.291</v>
      </c>
      <c r="D163" s="239">
        <v>4.95</v>
      </c>
      <c r="E163" s="312">
        <f aca="true" t="shared" si="5" ref="E163:F165">$C163/$C$161*60</f>
        <v>59.760629075668994</v>
      </c>
      <c r="F163" s="312">
        <f t="shared" si="5"/>
        <v>59.760629075668994</v>
      </c>
      <c r="G163" s="312">
        <f aca="true" t="shared" si="6" ref="G163:H165">$C163/$C$161*10</f>
        <v>9.960104845944834</v>
      </c>
      <c r="H163" s="312">
        <f t="shared" si="6"/>
        <v>9.960104845944834</v>
      </c>
    </row>
    <row r="164" spans="1:8" ht="45">
      <c r="A164" s="299" t="s">
        <v>171</v>
      </c>
      <c r="B164" s="267" t="s">
        <v>939</v>
      </c>
      <c r="C164" s="239">
        <v>0.49587</v>
      </c>
      <c r="D164" s="239">
        <v>0.05</v>
      </c>
      <c r="E164" s="312">
        <f t="shared" si="5"/>
        <v>0.2274409064306206</v>
      </c>
      <c r="F164" s="312">
        <f t="shared" si="5"/>
        <v>0.2274409064306206</v>
      </c>
      <c r="G164" s="312">
        <f t="shared" si="6"/>
        <v>0.037906817738436765</v>
      </c>
      <c r="H164" s="312">
        <f t="shared" si="6"/>
        <v>0.037906817738436765</v>
      </c>
    </row>
    <row r="165" spans="1:8" ht="45">
      <c r="A165" s="299" t="s">
        <v>172</v>
      </c>
      <c r="B165" s="267" t="s">
        <v>939</v>
      </c>
      <c r="C165" s="239">
        <v>0.02601</v>
      </c>
      <c r="D165" s="239">
        <v>0.00263</v>
      </c>
      <c r="E165" s="312">
        <f t="shared" si="5"/>
        <v>0.011930017900378004</v>
      </c>
      <c r="F165" s="312">
        <f t="shared" si="5"/>
        <v>0.011930017900378004</v>
      </c>
      <c r="G165" s="312">
        <f t="shared" si="6"/>
        <v>0.0019883363167296675</v>
      </c>
      <c r="H165" s="312">
        <f t="shared" si="6"/>
        <v>0.0019883363167296675</v>
      </c>
    </row>
    <row r="166" spans="1:8" ht="56.25">
      <c r="A166" s="304" t="s">
        <v>961</v>
      </c>
      <c r="B166" s="305" t="s">
        <v>939</v>
      </c>
      <c r="C166" s="306">
        <f>SUM(C168:C170)</f>
        <v>0</v>
      </c>
      <c r="D166" s="306">
        <f>SUM(D168:D170)</f>
        <v>0</v>
      </c>
      <c r="E166" s="306">
        <f>SUM(E168:E170)</f>
        <v>5.561814</v>
      </c>
      <c r="F166" s="306">
        <f>SUM(F168:F170)</f>
        <v>500</v>
      </c>
      <c r="G166" s="306">
        <f>SUM(G168:G170)</f>
        <v>0</v>
      </c>
      <c r="H166" s="306">
        <v>0</v>
      </c>
    </row>
    <row r="167" spans="1:8" ht="18.75">
      <c r="A167" s="275" t="s">
        <v>531</v>
      </c>
      <c r="B167" s="267"/>
      <c r="C167" s="239"/>
      <c r="D167" s="239"/>
      <c r="E167" s="239"/>
      <c r="F167" s="239"/>
      <c r="G167" s="239"/>
      <c r="H167" s="239"/>
    </row>
    <row r="168" spans="1:8" ht="45">
      <c r="A168" s="299" t="s">
        <v>340</v>
      </c>
      <c r="B168" s="267" t="s">
        <v>939</v>
      </c>
      <c r="C168" s="239">
        <v>0</v>
      </c>
      <c r="D168" s="239">
        <v>0</v>
      </c>
      <c r="E168" s="239">
        <v>0</v>
      </c>
      <c r="F168" s="239">
        <v>250</v>
      </c>
      <c r="G168" s="239">
        <v>0</v>
      </c>
      <c r="H168" s="239">
        <v>0</v>
      </c>
    </row>
    <row r="169" spans="1:8" ht="45">
      <c r="A169" s="299" t="s">
        <v>171</v>
      </c>
      <c r="B169" s="267" t="s">
        <v>939</v>
      </c>
      <c r="C169" s="239">
        <v>0</v>
      </c>
      <c r="D169" s="239">
        <v>0</v>
      </c>
      <c r="E169" s="239">
        <v>0</v>
      </c>
      <c r="F169" s="239">
        <v>237.5</v>
      </c>
      <c r="G169" s="239">
        <v>0</v>
      </c>
      <c r="H169" s="239">
        <v>0</v>
      </c>
    </row>
    <row r="170" spans="1:8" ht="45">
      <c r="A170" s="299" t="s">
        <v>172</v>
      </c>
      <c r="B170" s="267" t="s">
        <v>939</v>
      </c>
      <c r="C170" s="239">
        <v>0</v>
      </c>
      <c r="D170" s="239">
        <v>0</v>
      </c>
      <c r="E170" s="239">
        <v>5.561814</v>
      </c>
      <c r="F170" s="239">
        <v>12.5</v>
      </c>
      <c r="G170" s="239">
        <v>0</v>
      </c>
      <c r="H170" s="239">
        <v>0</v>
      </c>
    </row>
    <row r="171" spans="1:8" ht="45">
      <c r="A171" s="304" t="s">
        <v>962</v>
      </c>
      <c r="B171" s="305" t="s">
        <v>939</v>
      </c>
      <c r="C171" s="306">
        <f>SUM(C173:C175)</f>
        <v>10.0102</v>
      </c>
      <c r="D171" s="306">
        <f>SUM(D173:D175)</f>
        <v>10.5637</v>
      </c>
      <c r="E171" s="306">
        <f>SUM(E173:E175)</f>
        <v>12.572</v>
      </c>
      <c r="F171" s="306">
        <f>SUM(F173:F175)</f>
        <v>12.572</v>
      </c>
      <c r="G171" s="306">
        <v>15</v>
      </c>
      <c r="H171" s="306">
        <v>15</v>
      </c>
    </row>
    <row r="172" spans="1:8" ht="18.75">
      <c r="A172" s="275" t="s">
        <v>531</v>
      </c>
      <c r="B172" s="267"/>
      <c r="C172" s="239"/>
      <c r="D172" s="239"/>
      <c r="E172" s="239"/>
      <c r="F172" s="239"/>
      <c r="G172" s="239"/>
      <c r="H172" s="239"/>
    </row>
    <row r="173" spans="1:8" ht="45">
      <c r="A173" s="299" t="s">
        <v>340</v>
      </c>
      <c r="B173" s="267" t="s">
        <v>939</v>
      </c>
      <c r="C173" s="239">
        <v>0</v>
      </c>
      <c r="D173" s="239">
        <v>0</v>
      </c>
      <c r="E173" s="239">
        <v>0</v>
      </c>
      <c r="F173" s="239">
        <v>0</v>
      </c>
      <c r="G173" s="239">
        <v>0</v>
      </c>
      <c r="H173" s="239">
        <v>0</v>
      </c>
    </row>
    <row r="174" spans="1:8" ht="45">
      <c r="A174" s="299" t="s">
        <v>171</v>
      </c>
      <c r="B174" s="267" t="s">
        <v>939</v>
      </c>
      <c r="C174" s="239">
        <v>0</v>
      </c>
      <c r="D174" s="239">
        <v>0</v>
      </c>
      <c r="E174" s="239">
        <v>0</v>
      </c>
      <c r="F174" s="239">
        <v>0</v>
      </c>
      <c r="G174" s="239">
        <v>0</v>
      </c>
      <c r="H174" s="239">
        <v>0</v>
      </c>
    </row>
    <row r="175" spans="1:8" ht="45">
      <c r="A175" s="299" t="s">
        <v>172</v>
      </c>
      <c r="B175" s="267" t="s">
        <v>939</v>
      </c>
      <c r="C175" s="239">
        <v>10.0102</v>
      </c>
      <c r="D175" s="239">
        <v>10.5637</v>
      </c>
      <c r="E175" s="239">
        <v>12.572</v>
      </c>
      <c r="F175" s="239">
        <v>12.572</v>
      </c>
      <c r="G175" s="239">
        <v>15</v>
      </c>
      <c r="H175" s="239">
        <v>15</v>
      </c>
    </row>
    <row r="176" spans="1:8" ht="150">
      <c r="A176" s="304" t="s">
        <v>963</v>
      </c>
      <c r="B176" s="305" t="s">
        <v>939</v>
      </c>
      <c r="C176" s="306">
        <f>SUM(C178:C180)</f>
        <v>2.29697</v>
      </c>
      <c r="D176" s="306">
        <f>SUM(D178:D180)</f>
        <v>2.806</v>
      </c>
      <c r="E176" s="306">
        <f>SUM(E178:E180)</f>
        <v>0</v>
      </c>
      <c r="F176" s="306">
        <f>SUM(F178:F180)</f>
        <v>0</v>
      </c>
      <c r="G176" s="306">
        <f>SUM(G178:G180)</f>
        <v>0</v>
      </c>
      <c r="H176" s="306">
        <v>0</v>
      </c>
    </row>
    <row r="177" spans="1:8" ht="18.75">
      <c r="A177" s="275" t="s">
        <v>531</v>
      </c>
      <c r="B177" s="267"/>
      <c r="C177" s="239"/>
      <c r="D177" s="239"/>
      <c r="E177" s="239"/>
      <c r="F177" s="239"/>
      <c r="G177" s="239"/>
      <c r="H177" s="239"/>
    </row>
    <row r="178" spans="1:8" ht="45">
      <c r="A178" s="299" t="s">
        <v>340</v>
      </c>
      <c r="B178" s="267" t="s">
        <v>939</v>
      </c>
      <c r="C178" s="239">
        <v>0</v>
      </c>
      <c r="D178" s="239">
        <v>0</v>
      </c>
      <c r="E178" s="239">
        <v>0</v>
      </c>
      <c r="F178" s="239">
        <v>0</v>
      </c>
      <c r="G178" s="239">
        <v>0</v>
      </c>
      <c r="H178" s="239">
        <v>0</v>
      </c>
    </row>
    <row r="179" spans="1:8" ht="45">
      <c r="A179" s="299" t="s">
        <v>171</v>
      </c>
      <c r="B179" s="267" t="s">
        <v>939</v>
      </c>
      <c r="C179" s="239">
        <v>0</v>
      </c>
      <c r="D179" s="239">
        <v>0</v>
      </c>
      <c r="E179" s="239">
        <v>0</v>
      </c>
      <c r="F179" s="239">
        <v>0</v>
      </c>
      <c r="G179" s="239">
        <v>0</v>
      </c>
      <c r="H179" s="239">
        <v>0</v>
      </c>
    </row>
    <row r="180" spans="1:8" ht="45">
      <c r="A180" s="299" t="s">
        <v>172</v>
      </c>
      <c r="B180" s="267" t="s">
        <v>939</v>
      </c>
      <c r="C180" s="239">
        <v>2.29697</v>
      </c>
      <c r="D180" s="239">
        <v>2.806</v>
      </c>
      <c r="E180" s="239">
        <v>0</v>
      </c>
      <c r="F180" s="239">
        <v>0</v>
      </c>
      <c r="G180" s="239">
        <v>0</v>
      </c>
      <c r="H180" s="239">
        <v>0</v>
      </c>
    </row>
    <row r="181" spans="1:8" ht="93.75">
      <c r="A181" s="304" t="s">
        <v>964</v>
      </c>
      <c r="B181" s="305" t="s">
        <v>939</v>
      </c>
      <c r="C181" s="306">
        <f>SUM(C183:C185)</f>
        <v>170.0939</v>
      </c>
      <c r="D181" s="306">
        <f>SUM(D183:D185)</f>
        <v>0</v>
      </c>
      <c r="E181" s="306">
        <f>SUM(E183:E185)</f>
        <v>0</v>
      </c>
      <c r="F181" s="306">
        <f>SUM(F183:F185)</f>
        <v>0</v>
      </c>
      <c r="G181" s="306">
        <f>SUM(G183:G185)</f>
        <v>0</v>
      </c>
      <c r="H181" s="306">
        <v>0</v>
      </c>
    </row>
    <row r="182" spans="1:8" ht="18.75">
      <c r="A182" s="275" t="s">
        <v>531</v>
      </c>
      <c r="B182" s="267"/>
      <c r="C182" s="239"/>
      <c r="D182" s="239"/>
      <c r="E182" s="239"/>
      <c r="F182" s="239"/>
      <c r="G182" s="239"/>
      <c r="H182" s="239"/>
    </row>
    <row r="183" spans="1:8" ht="45">
      <c r="A183" s="299" t="s">
        <v>340</v>
      </c>
      <c r="B183" s="267" t="s">
        <v>939</v>
      </c>
      <c r="C183" s="239">
        <v>157.6066</v>
      </c>
      <c r="D183" s="239">
        <v>0</v>
      </c>
      <c r="E183" s="239">
        <v>0</v>
      </c>
      <c r="F183" s="239">
        <v>0</v>
      </c>
      <c r="G183" s="239">
        <v>0</v>
      </c>
      <c r="H183" s="239">
        <v>0</v>
      </c>
    </row>
    <row r="184" spans="1:8" ht="45">
      <c r="A184" s="299" t="s">
        <v>171</v>
      </c>
      <c r="B184" s="267" t="s">
        <v>939</v>
      </c>
      <c r="C184" s="239">
        <v>11.8629</v>
      </c>
      <c r="D184" s="239">
        <v>0</v>
      </c>
      <c r="E184" s="239">
        <v>0</v>
      </c>
      <c r="F184" s="239">
        <v>0</v>
      </c>
      <c r="G184" s="239">
        <v>0</v>
      </c>
      <c r="H184" s="239">
        <v>0</v>
      </c>
    </row>
    <row r="185" spans="1:8" ht="45">
      <c r="A185" s="299" t="s">
        <v>172</v>
      </c>
      <c r="B185" s="267" t="s">
        <v>939</v>
      </c>
      <c r="C185" s="239">
        <v>0.6244</v>
      </c>
      <c r="D185" s="239">
        <v>0</v>
      </c>
      <c r="E185" s="239">
        <v>0</v>
      </c>
      <c r="F185" s="239">
        <v>0</v>
      </c>
      <c r="G185" s="239">
        <v>0</v>
      </c>
      <c r="H185" s="239">
        <v>0</v>
      </c>
    </row>
    <row r="186" spans="1:8" ht="75">
      <c r="A186" s="304" t="s">
        <v>965</v>
      </c>
      <c r="B186" s="305" t="s">
        <v>939</v>
      </c>
      <c r="C186" s="306">
        <f aca="true" t="shared" si="7" ref="C186:H186">SUM(C188:C190)</f>
        <v>0</v>
      </c>
      <c r="D186" s="306">
        <f t="shared" si="7"/>
        <v>0</v>
      </c>
      <c r="E186" s="306">
        <f t="shared" si="7"/>
        <v>0</v>
      </c>
      <c r="F186" s="306">
        <f t="shared" si="7"/>
        <v>0</v>
      </c>
      <c r="G186" s="306">
        <f t="shared" si="7"/>
        <v>1.25</v>
      </c>
      <c r="H186" s="306">
        <f t="shared" si="7"/>
        <v>25</v>
      </c>
    </row>
    <row r="187" spans="1:8" ht="18.75">
      <c r="A187" s="275" t="s">
        <v>531</v>
      </c>
      <c r="B187" s="267"/>
      <c r="C187" s="239"/>
      <c r="D187" s="239"/>
      <c r="E187" s="239"/>
      <c r="F187" s="239"/>
      <c r="G187" s="239"/>
      <c r="H187" s="239"/>
    </row>
    <row r="188" spans="1:8" ht="45">
      <c r="A188" s="299" t="s">
        <v>340</v>
      </c>
      <c r="B188" s="267" t="s">
        <v>939</v>
      </c>
      <c r="C188" s="239">
        <v>0</v>
      </c>
      <c r="D188" s="239">
        <v>0</v>
      </c>
      <c r="E188" s="239">
        <v>0</v>
      </c>
      <c r="F188" s="239">
        <v>0</v>
      </c>
      <c r="G188" s="239">
        <v>0</v>
      </c>
      <c r="H188" s="239">
        <v>0</v>
      </c>
    </row>
    <row r="189" spans="1:8" ht="45">
      <c r="A189" s="299" t="s">
        <v>171</v>
      </c>
      <c r="B189" s="267" t="s">
        <v>939</v>
      </c>
      <c r="C189" s="239">
        <v>0</v>
      </c>
      <c r="D189" s="239">
        <v>0</v>
      </c>
      <c r="E189" s="239">
        <v>0</v>
      </c>
      <c r="F189" s="239">
        <v>0</v>
      </c>
      <c r="G189" s="239">
        <v>0</v>
      </c>
      <c r="H189" s="239">
        <v>20</v>
      </c>
    </row>
    <row r="190" spans="1:8" ht="45">
      <c r="A190" s="299" t="s">
        <v>172</v>
      </c>
      <c r="B190" s="267" t="s">
        <v>939</v>
      </c>
      <c r="C190" s="239">
        <v>0</v>
      </c>
      <c r="D190" s="239">
        <v>0</v>
      </c>
      <c r="E190" s="239">
        <v>0</v>
      </c>
      <c r="F190" s="239">
        <v>0</v>
      </c>
      <c r="G190" s="239">
        <v>1.25</v>
      </c>
      <c r="H190" s="239">
        <v>5</v>
      </c>
    </row>
    <row r="191" spans="1:8" ht="112.5">
      <c r="A191" s="304" t="s">
        <v>966</v>
      </c>
      <c r="B191" s="305" t="s">
        <v>939</v>
      </c>
      <c r="C191" s="306">
        <f>SUM(C193:C195)</f>
        <v>2.27626</v>
      </c>
      <c r="D191" s="306">
        <f>SUM(D193:D195)</f>
        <v>0</v>
      </c>
      <c r="E191" s="306">
        <f>SUM(E193:E195)</f>
        <v>135.179392</v>
      </c>
      <c r="F191" s="306">
        <f>SUM(F193:F195)</f>
        <v>0</v>
      </c>
      <c r="G191" s="306">
        <f>SUM(G193:G195)</f>
        <v>0</v>
      </c>
      <c r="H191" s="306"/>
    </row>
    <row r="192" spans="1:8" ht="18.75">
      <c r="A192" s="275" t="s">
        <v>531</v>
      </c>
      <c r="B192" s="267"/>
      <c r="C192" s="239"/>
      <c r="D192" s="239"/>
      <c r="E192" s="239"/>
      <c r="F192" s="239"/>
      <c r="G192" s="239"/>
      <c r="H192" s="239"/>
    </row>
    <row r="193" spans="1:8" ht="45">
      <c r="A193" s="299" t="s">
        <v>340</v>
      </c>
      <c r="B193" s="267" t="s">
        <v>939</v>
      </c>
      <c r="C193" s="239">
        <v>0</v>
      </c>
      <c r="D193" s="239">
        <v>0</v>
      </c>
      <c r="E193" s="239">
        <f>SUM(E194:E195)</f>
        <v>67.589696</v>
      </c>
      <c r="F193" s="239">
        <v>0</v>
      </c>
      <c r="G193" s="239">
        <v>0</v>
      </c>
      <c r="H193" s="239">
        <v>0</v>
      </c>
    </row>
    <row r="194" spans="1:8" ht="45">
      <c r="A194" s="299" t="s">
        <v>171</v>
      </c>
      <c r="B194" s="267" t="s">
        <v>939</v>
      </c>
      <c r="C194" s="239">
        <v>0</v>
      </c>
      <c r="D194" s="239">
        <v>0</v>
      </c>
      <c r="E194" s="239">
        <f>0.9*67.589696</f>
        <v>60.8307264</v>
      </c>
      <c r="F194" s="239">
        <v>0</v>
      </c>
      <c r="G194" s="239">
        <v>0</v>
      </c>
      <c r="H194" s="239">
        <v>0</v>
      </c>
    </row>
    <row r="195" spans="1:8" ht="45">
      <c r="A195" s="299" t="s">
        <v>172</v>
      </c>
      <c r="B195" s="267" t="s">
        <v>939</v>
      </c>
      <c r="C195" s="239">
        <v>2.27626</v>
      </c>
      <c r="D195" s="239">
        <v>0</v>
      </c>
      <c r="E195" s="239">
        <f>67.589696-E194</f>
        <v>6.7589696</v>
      </c>
      <c r="F195" s="239">
        <v>0</v>
      </c>
      <c r="G195" s="239">
        <v>0</v>
      </c>
      <c r="H195" s="239">
        <v>0</v>
      </c>
    </row>
    <row r="196" spans="1:8" ht="93.75">
      <c r="A196" s="304" t="s">
        <v>967</v>
      </c>
      <c r="B196" s="305" t="s">
        <v>939</v>
      </c>
      <c r="C196" s="306">
        <f>SUM(C198:C200)</f>
        <v>0.2533</v>
      </c>
      <c r="D196" s="306">
        <f>SUM(D198:D200)</f>
        <v>0</v>
      </c>
      <c r="E196" s="306">
        <f>SUM(E198:E200)</f>
        <v>32.476638</v>
      </c>
      <c r="F196" s="306">
        <f>SUM(F198:F200)</f>
        <v>0</v>
      </c>
      <c r="G196" s="306">
        <f>SUM(G198:G200)</f>
        <v>0</v>
      </c>
      <c r="H196" s="306">
        <v>0</v>
      </c>
    </row>
    <row r="197" spans="1:8" ht="18.75">
      <c r="A197" s="275" t="s">
        <v>531</v>
      </c>
      <c r="B197" s="267"/>
      <c r="C197" s="239"/>
      <c r="D197" s="239"/>
      <c r="E197" s="239"/>
      <c r="F197" s="239"/>
      <c r="G197" s="239"/>
      <c r="H197" s="239"/>
    </row>
    <row r="198" spans="1:8" ht="45">
      <c r="A198" s="299" t="s">
        <v>340</v>
      </c>
      <c r="B198" s="267" t="s">
        <v>939</v>
      </c>
      <c r="C198" s="239">
        <v>0</v>
      </c>
      <c r="D198" s="239">
        <v>0</v>
      </c>
      <c r="E198" s="239">
        <v>0</v>
      </c>
      <c r="F198" s="239">
        <v>0</v>
      </c>
      <c r="G198" s="239">
        <v>0</v>
      </c>
      <c r="H198" s="239">
        <v>0</v>
      </c>
    </row>
    <row r="199" spans="1:8" ht="45">
      <c r="A199" s="299" t="s">
        <v>171</v>
      </c>
      <c r="B199" s="267" t="s">
        <v>939</v>
      </c>
      <c r="C199" s="239">
        <v>0</v>
      </c>
      <c r="D199" s="239">
        <v>0</v>
      </c>
      <c r="E199" s="239">
        <f>0.9*32.476638</f>
        <v>29.228974200000003</v>
      </c>
      <c r="F199" s="239">
        <v>0</v>
      </c>
      <c r="G199" s="239">
        <v>0</v>
      </c>
      <c r="H199" s="239">
        <v>0</v>
      </c>
    </row>
    <row r="200" spans="1:8" ht="45">
      <c r="A200" s="299" t="s">
        <v>172</v>
      </c>
      <c r="B200" s="267" t="s">
        <v>939</v>
      </c>
      <c r="C200" s="239">
        <v>0.2533</v>
      </c>
      <c r="D200" s="239">
        <v>0</v>
      </c>
      <c r="E200" s="239">
        <f>32.476638-E199</f>
        <v>3.247663799999998</v>
      </c>
      <c r="F200" s="239">
        <v>0</v>
      </c>
      <c r="G200" s="239">
        <v>0</v>
      </c>
      <c r="H200" s="239">
        <v>0</v>
      </c>
    </row>
    <row r="201" spans="1:8" ht="56.25">
      <c r="A201" s="304" t="s">
        <v>968</v>
      </c>
      <c r="B201" s="305" t="s">
        <v>939</v>
      </c>
      <c r="C201" s="306">
        <f aca="true" t="shared" si="8" ref="C201:H201">SUM(C203:C205)</f>
        <v>1.41</v>
      </c>
      <c r="D201" s="306">
        <f t="shared" si="8"/>
        <v>0</v>
      </c>
      <c r="E201" s="306">
        <f t="shared" si="8"/>
        <v>0</v>
      </c>
      <c r="F201" s="306">
        <f t="shared" si="8"/>
        <v>61.0912926</v>
      </c>
      <c r="G201" s="306">
        <f t="shared" si="8"/>
        <v>0</v>
      </c>
      <c r="H201" s="306">
        <f t="shared" si="8"/>
        <v>0</v>
      </c>
    </row>
    <row r="202" spans="1:8" ht="18.75">
      <c r="A202" s="275" t="s">
        <v>531</v>
      </c>
      <c r="B202" s="267"/>
      <c r="C202" s="239"/>
      <c r="D202" s="239"/>
      <c r="E202" s="239"/>
      <c r="F202" s="239"/>
      <c r="G202" s="239"/>
      <c r="H202" s="239"/>
    </row>
    <row r="203" spans="1:8" ht="45">
      <c r="A203" s="299" t="s">
        <v>340</v>
      </c>
      <c r="B203" s="267" t="s">
        <v>939</v>
      </c>
      <c r="C203" s="239">
        <v>0</v>
      </c>
      <c r="D203" s="239">
        <v>0</v>
      </c>
      <c r="E203" s="239">
        <v>0</v>
      </c>
      <c r="F203" s="239">
        <v>0</v>
      </c>
      <c r="G203" s="239">
        <v>0</v>
      </c>
      <c r="H203" s="239">
        <v>0</v>
      </c>
    </row>
    <row r="204" spans="1:8" ht="45">
      <c r="A204" s="299" t="s">
        <v>171</v>
      </c>
      <c r="B204" s="267" t="s">
        <v>939</v>
      </c>
      <c r="C204" s="239">
        <v>0</v>
      </c>
      <c r="D204" s="239">
        <v>0</v>
      </c>
      <c r="E204" s="239">
        <v>0</v>
      </c>
      <c r="F204" s="239">
        <f>0.9*52.21478*1.17</f>
        <v>54.98216334</v>
      </c>
      <c r="G204" s="239">
        <v>0</v>
      </c>
      <c r="H204" s="239">
        <v>0</v>
      </c>
    </row>
    <row r="205" spans="1:8" ht="45">
      <c r="A205" s="299" t="s">
        <v>172</v>
      </c>
      <c r="B205" s="267" t="s">
        <v>939</v>
      </c>
      <c r="C205" s="239">
        <v>1.41</v>
      </c>
      <c r="D205" s="239">
        <v>0</v>
      </c>
      <c r="E205" s="239">
        <v>0</v>
      </c>
      <c r="F205" s="239">
        <f>0.1*52.21478*1.17</f>
        <v>6.10912926</v>
      </c>
      <c r="G205" s="239">
        <v>0</v>
      </c>
      <c r="H205" s="239">
        <v>0</v>
      </c>
    </row>
    <row r="206" spans="1:8" ht="56.25">
      <c r="A206" s="304" t="s">
        <v>969</v>
      </c>
      <c r="B206" s="305" t="s">
        <v>939</v>
      </c>
      <c r="C206" s="306">
        <f>SUM(C208:C210)</f>
        <v>17.5</v>
      </c>
      <c r="D206" s="306">
        <f>SUM(D208:D210)</f>
        <v>177.1865</v>
      </c>
      <c r="E206" s="306">
        <f>SUM(E208:E210)</f>
        <v>1036.5185</v>
      </c>
      <c r="F206" s="306">
        <f>SUM(F208:F210)</f>
        <v>208.08</v>
      </c>
      <c r="G206" s="306">
        <f>SUM(G208:G210)</f>
        <v>750.1965</v>
      </c>
      <c r="H206" s="306">
        <v>0</v>
      </c>
    </row>
    <row r="207" spans="1:8" ht="18.75">
      <c r="A207" s="275" t="s">
        <v>531</v>
      </c>
      <c r="B207" s="267"/>
      <c r="C207" s="239"/>
      <c r="D207" s="239"/>
      <c r="E207" s="239"/>
      <c r="F207" s="239"/>
      <c r="G207" s="239"/>
      <c r="H207" s="239"/>
    </row>
    <row r="208" spans="1:8" ht="45">
      <c r="A208" s="299" t="s">
        <v>340</v>
      </c>
      <c r="B208" s="267" t="s">
        <v>939</v>
      </c>
      <c r="C208" s="239">
        <v>0</v>
      </c>
      <c r="D208" s="239">
        <v>175.398</v>
      </c>
      <c r="E208" s="239">
        <v>1026.05</v>
      </c>
      <c r="F208" s="239">
        <v>205.9793</v>
      </c>
      <c r="G208" s="239">
        <v>742.62</v>
      </c>
      <c r="H208" s="239">
        <v>0</v>
      </c>
    </row>
    <row r="209" spans="1:8" ht="45">
      <c r="A209" s="299" t="s">
        <v>171</v>
      </c>
      <c r="B209" s="267" t="s">
        <v>939</v>
      </c>
      <c r="C209" s="239">
        <v>16.625</v>
      </c>
      <c r="D209" s="239">
        <v>1.7713</v>
      </c>
      <c r="E209" s="239">
        <v>10.3643</v>
      </c>
      <c r="F209" s="239">
        <v>2.0806</v>
      </c>
      <c r="G209" s="239">
        <v>7.5013</v>
      </c>
      <c r="H209" s="239">
        <v>0</v>
      </c>
    </row>
    <row r="210" spans="1:8" ht="45">
      <c r="A210" s="299" t="s">
        <v>172</v>
      </c>
      <c r="B210" s="267" t="s">
        <v>939</v>
      </c>
      <c r="C210" s="239">
        <v>0.875</v>
      </c>
      <c r="D210" s="239">
        <v>0.0172</v>
      </c>
      <c r="E210" s="239">
        <v>0.1042</v>
      </c>
      <c r="F210" s="239">
        <f>208.08-F208-F209</f>
        <v>0.02010000000001755</v>
      </c>
      <c r="G210" s="239">
        <v>0.0752</v>
      </c>
      <c r="H210" s="239">
        <v>0</v>
      </c>
    </row>
    <row r="211" spans="1:8" ht="56.25">
      <c r="A211" s="304" t="s">
        <v>970</v>
      </c>
      <c r="B211" s="305" t="s">
        <v>939</v>
      </c>
      <c r="C211" s="306">
        <f aca="true" t="shared" si="9" ref="C211:H211">SUM(C213:C215)</f>
        <v>0</v>
      </c>
      <c r="D211" s="306">
        <f t="shared" si="9"/>
        <v>50</v>
      </c>
      <c r="E211" s="306">
        <f t="shared" si="9"/>
        <v>0</v>
      </c>
      <c r="F211" s="306">
        <f t="shared" si="9"/>
        <v>300</v>
      </c>
      <c r="G211" s="306">
        <f t="shared" si="9"/>
        <v>300</v>
      </c>
      <c r="H211" s="306">
        <f t="shared" si="9"/>
        <v>300</v>
      </c>
    </row>
    <row r="212" spans="1:8" ht="18.75">
      <c r="A212" s="275" t="s">
        <v>531</v>
      </c>
      <c r="B212" s="267"/>
      <c r="C212" s="239"/>
      <c r="D212" s="239"/>
      <c r="E212" s="239"/>
      <c r="F212" s="239"/>
      <c r="G212" s="239"/>
      <c r="H212" s="239"/>
    </row>
    <row r="213" spans="1:8" ht="45">
      <c r="A213" s="299" t="s">
        <v>340</v>
      </c>
      <c r="B213" s="267" t="s">
        <v>939</v>
      </c>
      <c r="C213" s="239">
        <v>0</v>
      </c>
      <c r="D213" s="239">
        <v>0</v>
      </c>
      <c r="E213" s="239">
        <v>0</v>
      </c>
      <c r="F213" s="239">
        <f>0.7*300</f>
        <v>210</v>
      </c>
      <c r="G213" s="239">
        <f>0.7*300</f>
        <v>210</v>
      </c>
      <c r="H213" s="239">
        <f>0.7*300</f>
        <v>210</v>
      </c>
    </row>
    <row r="214" spans="1:8" ht="45">
      <c r="A214" s="299" t="s">
        <v>171</v>
      </c>
      <c r="B214" s="267" t="s">
        <v>939</v>
      </c>
      <c r="C214" s="239">
        <v>0</v>
      </c>
      <c r="D214" s="239">
        <v>47.5</v>
      </c>
      <c r="E214" s="239">
        <v>0</v>
      </c>
      <c r="F214" s="239">
        <f>(300-F213)*0.99</f>
        <v>89.1</v>
      </c>
      <c r="G214" s="239">
        <f>(300-G213)*0.99</f>
        <v>89.1</v>
      </c>
      <c r="H214" s="239">
        <f>(300-H213)*0.99</f>
        <v>89.1</v>
      </c>
    </row>
    <row r="215" spans="1:8" ht="45">
      <c r="A215" s="299" t="s">
        <v>172</v>
      </c>
      <c r="B215" s="267" t="s">
        <v>939</v>
      </c>
      <c r="C215" s="239">
        <v>0</v>
      </c>
      <c r="D215" s="239">
        <v>2.5</v>
      </c>
      <c r="E215" s="239">
        <v>0</v>
      </c>
      <c r="F215" s="239">
        <f>300-SUM(F213:F214)</f>
        <v>0.8999999999999773</v>
      </c>
      <c r="G215" s="239">
        <f>300-SUM(G213:G214)</f>
        <v>0.8999999999999773</v>
      </c>
      <c r="H215" s="239">
        <f>300-SUM(H213:H214)</f>
        <v>0.8999999999999773</v>
      </c>
    </row>
    <row r="216" spans="1:8" ht="93.75">
      <c r="A216" s="299" t="s">
        <v>971</v>
      </c>
      <c r="B216" s="267" t="s">
        <v>939</v>
      </c>
      <c r="C216" s="239">
        <f aca="true" t="shared" si="10" ref="C216:H216">SUM(C218:C220)</f>
        <v>0</v>
      </c>
      <c r="D216" s="239">
        <f t="shared" si="10"/>
        <v>0</v>
      </c>
      <c r="E216" s="239">
        <f t="shared" si="10"/>
        <v>6.84</v>
      </c>
      <c r="F216" s="239">
        <f t="shared" si="10"/>
        <v>187.09909</v>
      </c>
      <c r="G216" s="239">
        <f t="shared" si="10"/>
        <v>187.09909</v>
      </c>
      <c r="H216" s="239">
        <f t="shared" si="10"/>
        <v>0</v>
      </c>
    </row>
    <row r="217" spans="1:8" ht="18.75">
      <c r="A217" s="275" t="s">
        <v>531</v>
      </c>
      <c r="B217" s="267"/>
      <c r="C217" s="239"/>
      <c r="D217" s="239"/>
      <c r="E217" s="239"/>
      <c r="F217" s="239"/>
      <c r="G217" s="239"/>
      <c r="H217" s="239"/>
    </row>
    <row r="218" spans="1:8" ht="45">
      <c r="A218" s="299" t="s">
        <v>340</v>
      </c>
      <c r="B218" s="267" t="s">
        <v>939</v>
      </c>
      <c r="C218" s="239">
        <v>0</v>
      </c>
      <c r="D218" s="239">
        <v>0</v>
      </c>
      <c r="E218" s="239">
        <v>0</v>
      </c>
      <c r="F218" s="239">
        <v>0</v>
      </c>
      <c r="G218" s="239">
        <v>0</v>
      </c>
      <c r="H218" s="239">
        <v>0</v>
      </c>
    </row>
    <row r="219" spans="1:8" ht="45">
      <c r="A219" s="299" t="s">
        <v>171</v>
      </c>
      <c r="B219" s="267" t="s">
        <v>939</v>
      </c>
      <c r="C219" s="239">
        <v>0</v>
      </c>
      <c r="D219" s="239">
        <v>0</v>
      </c>
      <c r="E219" s="239">
        <v>6.498</v>
      </c>
      <c r="F219" s="239">
        <f>374.19818/2*0.99</f>
        <v>185.22809909999998</v>
      </c>
      <c r="G219" s="239">
        <f>374.19818/2*0.99</f>
        <v>185.22809909999998</v>
      </c>
      <c r="H219" s="239">
        <v>0</v>
      </c>
    </row>
    <row r="220" spans="1:8" ht="45">
      <c r="A220" s="299" t="s">
        <v>172</v>
      </c>
      <c r="B220" s="267" t="s">
        <v>939</v>
      </c>
      <c r="C220" s="239">
        <v>0</v>
      </c>
      <c r="D220" s="239">
        <v>0</v>
      </c>
      <c r="E220" s="239">
        <v>0.342</v>
      </c>
      <c r="F220" s="239">
        <f>374.19818/2-F219</f>
        <v>1.8709909000000096</v>
      </c>
      <c r="G220" s="239">
        <f>374.19818/2-G219</f>
        <v>1.8709909000000096</v>
      </c>
      <c r="H220" s="239">
        <v>0</v>
      </c>
    </row>
    <row r="221" spans="1:8" ht="18.75">
      <c r="A221" s="299" t="s">
        <v>940</v>
      </c>
      <c r="B221" s="267"/>
      <c r="C221" s="239"/>
      <c r="D221" s="239"/>
      <c r="E221" s="239"/>
      <c r="F221" s="239"/>
      <c r="G221" s="239"/>
      <c r="H221" s="239"/>
    </row>
    <row r="222" spans="1:8" ht="18.75">
      <c r="A222" s="299" t="s">
        <v>941</v>
      </c>
      <c r="B222" s="267"/>
      <c r="C222" s="239"/>
      <c r="D222" s="239"/>
      <c r="E222" s="239"/>
      <c r="F222" s="239"/>
      <c r="G222" s="239"/>
      <c r="H222" s="239"/>
    </row>
    <row r="223" spans="1:9" ht="42.75" customHeight="1">
      <c r="A223" s="250" t="s">
        <v>302</v>
      </c>
      <c r="B223" s="263"/>
      <c r="C223" s="239"/>
      <c r="D223" s="239"/>
      <c r="E223" s="239"/>
      <c r="F223" s="239"/>
      <c r="G223" s="239"/>
      <c r="H223" s="239"/>
      <c r="I223" s="240"/>
    </row>
    <row r="224" spans="1:9" ht="61.5" customHeight="1">
      <c r="A224" s="232" t="s">
        <v>293</v>
      </c>
      <c r="B224" s="263" t="s">
        <v>594</v>
      </c>
      <c r="C224" s="239">
        <v>1.773</v>
      </c>
      <c r="D224" s="239">
        <v>1.9</v>
      </c>
      <c r="E224" s="239">
        <v>1.34</v>
      </c>
      <c r="F224" s="239">
        <f>E224*1.27777</f>
        <v>1.7122118000000002</v>
      </c>
      <c r="G224" s="239">
        <v>1.8</v>
      </c>
      <c r="H224" s="239">
        <v>1.9</v>
      </c>
      <c r="I224" s="240"/>
    </row>
    <row r="225" spans="1:9" ht="32.25" customHeight="1">
      <c r="A225" s="232"/>
      <c r="B225" s="249" t="s">
        <v>47</v>
      </c>
      <c r="C225" s="239">
        <v>78.8</v>
      </c>
      <c r="D225" s="239">
        <v>107.1630005640158</v>
      </c>
      <c r="E225" s="239">
        <f>E224/D224*100</f>
        <v>70.5263157894737</v>
      </c>
      <c r="F225" s="239">
        <f>F224/E224*100</f>
        <v>127.777</v>
      </c>
      <c r="G225" s="239">
        <f>G224/F224*100</f>
        <v>105.1271811115891</v>
      </c>
      <c r="H225" s="239">
        <f>H224/G224*100</f>
        <v>105.55555555555556</v>
      </c>
      <c r="I225" s="240"/>
    </row>
    <row r="226" spans="1:9" ht="82.5" customHeight="1">
      <c r="A226" s="232" t="s">
        <v>294</v>
      </c>
      <c r="B226" s="263" t="s">
        <v>887</v>
      </c>
      <c r="C226" s="239">
        <v>13.392</v>
      </c>
      <c r="D226" s="239">
        <v>13.86</v>
      </c>
      <c r="E226" s="239">
        <f>D226/D224*E224</f>
        <v>9.774947368421053</v>
      </c>
      <c r="F226" s="239">
        <f>E226/E224*F224</f>
        <v>12.49013449894737</v>
      </c>
      <c r="G226" s="239">
        <f>F226/F224*G224</f>
        <v>13.130526315789474</v>
      </c>
      <c r="H226" s="239">
        <f>G226/G224*H224</f>
        <v>13.86</v>
      </c>
      <c r="I226" s="240"/>
    </row>
    <row r="227" spans="1:9" ht="47.25" customHeight="1">
      <c r="A227" s="232"/>
      <c r="B227" s="249" t="s">
        <v>47</v>
      </c>
      <c r="C227" s="239">
        <v>79.95223880597014</v>
      </c>
      <c r="D227" s="239">
        <v>103.49462365591397</v>
      </c>
      <c r="E227" s="239">
        <f>E226/D226*100</f>
        <v>70.5263157894737</v>
      </c>
      <c r="F227" s="239">
        <f>F226/E226*100</f>
        <v>127.777</v>
      </c>
      <c r="G227" s="239">
        <f>G226/F226*100</f>
        <v>105.1271811115891</v>
      </c>
      <c r="H227" s="239">
        <f>H226/G226*100</f>
        <v>105.55555555555554</v>
      </c>
      <c r="I227" s="240"/>
    </row>
    <row r="228" spans="1:9" ht="41.25" customHeight="1">
      <c r="A228" s="232" t="s">
        <v>295</v>
      </c>
      <c r="B228" s="263" t="s">
        <v>939</v>
      </c>
      <c r="C228" s="239">
        <f>0.3696*C226*1000</f>
        <v>4949.6832</v>
      </c>
      <c r="D228" s="239">
        <f>0.3696*D226*1000</f>
        <v>5122.655999999999</v>
      </c>
      <c r="E228" s="239">
        <f>0.4752*E226*1000</f>
        <v>4645.054989473684</v>
      </c>
      <c r="F228" s="239">
        <f>0.4752*F226*1000</f>
        <v>5935.31191389979</v>
      </c>
      <c r="G228" s="239">
        <f>0.5808*G226*1000</f>
        <v>7626.209684210527</v>
      </c>
      <c r="H228" s="239">
        <f>0.5808*H226*1000</f>
        <v>8049.887999999999</v>
      </c>
      <c r="I228" s="240"/>
    </row>
    <row r="229" spans="1:9" ht="51" customHeight="1">
      <c r="A229" s="232"/>
      <c r="B229" s="249" t="s">
        <v>47</v>
      </c>
      <c r="C229" s="239">
        <f>C228/3900*100</f>
        <v>126.91495384615385</v>
      </c>
      <c r="D229" s="239">
        <f>D228/C228*100</f>
        <v>103.49462365591395</v>
      </c>
      <c r="E229" s="239">
        <f>E228/D228*100</f>
        <v>90.67669172932332</v>
      </c>
      <c r="F229" s="239">
        <f>F228/E228*100</f>
        <v>127.777</v>
      </c>
      <c r="G229" s="239">
        <f>G228/F228*100</f>
        <v>128.48877691416448</v>
      </c>
      <c r="H229" s="239">
        <f>H228/G228*100</f>
        <v>105.55555555555554</v>
      </c>
      <c r="I229" s="240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  <row r="258" spans="3:8" ht="18.75">
      <c r="C258" s="241"/>
      <c r="D258" s="241"/>
      <c r="E258" s="241"/>
      <c r="F258" s="241"/>
      <c r="G258" s="241"/>
      <c r="H258" s="241"/>
    </row>
    <row r="259" spans="3:8" ht="18.75">
      <c r="C259" s="241"/>
      <c r="D259" s="241"/>
      <c r="E259" s="241"/>
      <c r="F259" s="241"/>
      <c r="G259" s="241"/>
      <c r="H259" s="241"/>
    </row>
    <row r="260" spans="3:8" ht="18.75">
      <c r="C260" s="241"/>
      <c r="D260" s="241"/>
      <c r="E260" s="241"/>
      <c r="F260" s="241"/>
      <c r="G260" s="241"/>
      <c r="H260" s="241"/>
    </row>
    <row r="261" spans="3:8" ht="18.75">
      <c r="C261" s="241"/>
      <c r="D261" s="241"/>
      <c r="E261" s="241"/>
      <c r="F261" s="241"/>
      <c r="G261" s="241"/>
      <c r="H261" s="241"/>
    </row>
    <row r="262" spans="3:8" ht="18.75">
      <c r="C262" s="241"/>
      <c r="D262" s="241"/>
      <c r="E262" s="241"/>
      <c r="F262" s="241"/>
      <c r="G262" s="241"/>
      <c r="H262" s="241"/>
    </row>
    <row r="263" spans="3:8" ht="18.75">
      <c r="C263" s="241"/>
      <c r="D263" s="241"/>
      <c r="E263" s="241"/>
      <c r="F263" s="241"/>
      <c r="G263" s="241"/>
      <c r="H263" s="241"/>
    </row>
    <row r="264" spans="3:8" ht="18.75">
      <c r="C264" s="241"/>
      <c r="D264" s="241"/>
      <c r="E264" s="241"/>
      <c r="F264" s="241"/>
      <c r="G264" s="241"/>
      <c r="H264" s="241"/>
    </row>
    <row r="265" spans="3:8" ht="18.75">
      <c r="C265" s="241"/>
      <c r="D265" s="241"/>
      <c r="E265" s="241"/>
      <c r="F265" s="241"/>
      <c r="G265" s="241"/>
      <c r="H265" s="241"/>
    </row>
    <row r="266" spans="3:8" ht="18.75">
      <c r="C266" s="241"/>
      <c r="D266" s="241"/>
      <c r="E266" s="241"/>
      <c r="F266" s="241"/>
      <c r="G266" s="241"/>
      <c r="H266" s="241"/>
    </row>
    <row r="267" spans="3:8" ht="18.75">
      <c r="C267" s="241"/>
      <c r="D267" s="241"/>
      <c r="E267" s="241"/>
      <c r="F267" s="241"/>
      <c r="G267" s="241"/>
      <c r="H267" s="241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67" r:id="rId1"/>
  <rowBreaks count="14" manualBreakCount="14">
    <brk id="16" max="8" man="1"/>
    <brk id="28" max="8" man="1"/>
    <brk id="40" max="8" man="1"/>
    <brk id="50" max="8" man="1"/>
    <brk id="62" max="8" man="1"/>
    <brk id="74" max="8" man="1"/>
    <brk id="86" max="8" man="1"/>
    <brk id="98" max="8" man="1"/>
    <brk id="110" max="8" man="1"/>
    <brk id="120" max="8" man="1"/>
    <brk id="133" max="8" man="1"/>
    <brk id="144" max="8" man="1"/>
    <brk id="222" max="8" man="1"/>
    <brk id="22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235</v>
      </c>
      <c r="B105" s="31">
        <v>212</v>
      </c>
      <c r="C105" s="31"/>
    </row>
    <row r="106" spans="1:3" ht="12.75">
      <c r="A106" s="34" t="s">
        <v>248</v>
      </c>
      <c r="B106" s="31">
        <v>253</v>
      </c>
      <c r="C106" s="31"/>
    </row>
    <row r="107" spans="1:3" ht="12.75">
      <c r="A107" s="7" t="s">
        <v>262</v>
      </c>
      <c r="B107" s="31">
        <v>300</v>
      </c>
      <c r="C107" s="31"/>
    </row>
    <row r="108" spans="1:3" ht="12.75">
      <c r="A108" s="34" t="s">
        <v>280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58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9" sqref="E9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18" t="s">
        <v>953</v>
      </c>
      <c r="B1" s="318"/>
      <c r="C1" s="318"/>
      <c r="D1" s="318"/>
      <c r="E1" s="318"/>
      <c r="F1" s="318"/>
      <c r="G1" s="318"/>
      <c r="H1" s="318"/>
    </row>
    <row r="2" spans="1:8" ht="15.75" customHeight="1">
      <c r="A2" s="321" t="s">
        <v>956</v>
      </c>
      <c r="B2" s="321"/>
      <c r="C2" s="321"/>
      <c r="D2" s="321"/>
      <c r="E2" s="321"/>
      <c r="F2" s="321"/>
      <c r="G2" s="321"/>
      <c r="H2" s="321"/>
    </row>
    <row r="3" spans="1:8" s="251" customFormat="1" ht="24.75" customHeight="1">
      <c r="A3" s="322" t="s">
        <v>284</v>
      </c>
      <c r="B3" s="322"/>
      <c r="C3" s="322"/>
      <c r="D3" s="322"/>
      <c r="E3" s="322"/>
      <c r="F3" s="322"/>
      <c r="G3" s="322"/>
      <c r="H3" s="322"/>
    </row>
    <row r="4" spans="1:9" s="238" customFormat="1" ht="21" customHeight="1">
      <c r="A4" s="314" t="s">
        <v>541</v>
      </c>
      <c r="B4" s="314" t="s">
        <v>542</v>
      </c>
      <c r="C4" s="236" t="s">
        <v>548</v>
      </c>
      <c r="D4" s="236" t="s">
        <v>548</v>
      </c>
      <c r="E4" s="236" t="s">
        <v>549</v>
      </c>
      <c r="F4" s="320" t="s">
        <v>550</v>
      </c>
      <c r="G4" s="320"/>
      <c r="H4" s="320"/>
      <c r="I4" s="237"/>
    </row>
    <row r="5" spans="1:9" s="238" customFormat="1" ht="13.5" customHeight="1">
      <c r="A5" s="314"/>
      <c r="B5" s="314"/>
      <c r="C5" s="316">
        <v>2020</v>
      </c>
      <c r="D5" s="316">
        <v>2021</v>
      </c>
      <c r="E5" s="316">
        <v>2022</v>
      </c>
      <c r="F5" s="316">
        <v>2023</v>
      </c>
      <c r="G5" s="316">
        <v>2024</v>
      </c>
      <c r="H5" s="314">
        <v>2025</v>
      </c>
      <c r="I5" s="237"/>
    </row>
    <row r="6" spans="1:9" s="238" customFormat="1" ht="7.5" customHeight="1">
      <c r="A6" s="314"/>
      <c r="B6" s="314"/>
      <c r="C6" s="317"/>
      <c r="D6" s="317"/>
      <c r="E6" s="317"/>
      <c r="F6" s="317"/>
      <c r="G6" s="317"/>
      <c r="H6" s="314"/>
      <c r="I6" s="237"/>
    </row>
    <row r="7" spans="1:9" s="238" customFormat="1" ht="19.5" customHeight="1">
      <c r="A7" s="250" t="s">
        <v>296</v>
      </c>
      <c r="B7" s="250"/>
      <c r="C7" s="250"/>
      <c r="D7" s="250"/>
      <c r="E7" s="250"/>
      <c r="F7" s="250"/>
      <c r="G7" s="250"/>
      <c r="H7" s="250"/>
      <c r="I7" s="237"/>
    </row>
    <row r="8" spans="1:8" s="235" customFormat="1" ht="44.25" customHeight="1">
      <c r="A8" s="231" t="s">
        <v>553</v>
      </c>
      <c r="B8" s="263" t="s">
        <v>887</v>
      </c>
      <c r="C8" s="308">
        <v>80.443</v>
      </c>
      <c r="D8" s="308">
        <v>79.1595</v>
      </c>
      <c r="E8" s="308">
        <v>77.86146212121213</v>
      </c>
      <c r="F8" s="308">
        <v>76.78718181818182</v>
      </c>
      <c r="G8" s="308">
        <v>75.65049242424243</v>
      </c>
      <c r="H8" s="308">
        <v>74.45139393939395</v>
      </c>
    </row>
    <row r="9" spans="1:8" s="235" customFormat="1" ht="45" customHeight="1">
      <c r="A9" s="244"/>
      <c r="B9" s="263" t="s">
        <v>47</v>
      </c>
      <c r="C9" s="308">
        <v>98.74183728580547</v>
      </c>
      <c r="D9" s="308">
        <v>98.40446030108275</v>
      </c>
      <c r="E9" s="308">
        <v>98.3602247629307</v>
      </c>
      <c r="F9" s="308">
        <v>98.62026697962864</v>
      </c>
      <c r="G9" s="308">
        <v>98.51968861595823</v>
      </c>
      <c r="H9" s="308">
        <v>98.4149495311623</v>
      </c>
    </row>
    <row r="10" spans="1:8" s="235" customFormat="1" ht="18.75">
      <c r="A10" s="244" t="s">
        <v>48</v>
      </c>
      <c r="B10" s="263" t="s">
        <v>887</v>
      </c>
      <c r="C10" s="308">
        <v>80.443</v>
      </c>
      <c r="D10" s="308">
        <v>79.1595</v>
      </c>
      <c r="E10" s="308">
        <v>77.86146212121213</v>
      </c>
      <c r="F10" s="308">
        <v>76.78718181818182</v>
      </c>
      <c r="G10" s="308">
        <v>75.65049242424243</v>
      </c>
      <c r="H10" s="308">
        <v>74.45139393939395</v>
      </c>
    </row>
    <row r="11" spans="1:8" s="235" customFormat="1" ht="45">
      <c r="A11" s="244"/>
      <c r="B11" s="263" t="s">
        <v>47</v>
      </c>
      <c r="C11" s="308">
        <v>98.74183728580547</v>
      </c>
      <c r="D11" s="308">
        <v>98.40446030108275</v>
      </c>
      <c r="E11" s="308">
        <v>98.3602247629307</v>
      </c>
      <c r="F11" s="308">
        <v>98.62026697962864</v>
      </c>
      <c r="G11" s="308">
        <v>98.51968861595823</v>
      </c>
      <c r="H11" s="308">
        <v>98.4149495311623</v>
      </c>
    </row>
    <row r="12" spans="1:8" s="235" customFormat="1" ht="18.75">
      <c r="A12" s="244" t="s">
        <v>49</v>
      </c>
      <c r="B12" s="263" t="s">
        <v>887</v>
      </c>
      <c r="C12" s="243">
        <v>0</v>
      </c>
      <c r="D12" s="313">
        <v>0</v>
      </c>
      <c r="E12" s="243">
        <v>0</v>
      </c>
      <c r="F12" s="243">
        <v>0</v>
      </c>
      <c r="G12" s="243">
        <v>0</v>
      </c>
      <c r="H12" s="243">
        <v>0</v>
      </c>
    </row>
    <row r="13" spans="1:8" s="235" customFormat="1" ht="45">
      <c r="A13" s="244"/>
      <c r="B13" s="263" t="s">
        <v>47</v>
      </c>
      <c r="C13" s="243" t="s">
        <v>857</v>
      </c>
      <c r="D13" s="243" t="s">
        <v>857</v>
      </c>
      <c r="E13" s="243" t="s">
        <v>857</v>
      </c>
      <c r="F13" s="243" t="s">
        <v>857</v>
      </c>
      <c r="G13" s="243" t="s">
        <v>857</v>
      </c>
      <c r="H13" s="243" t="s">
        <v>857</v>
      </c>
    </row>
    <row r="14" spans="1:8" s="235" customFormat="1" ht="48.75" customHeight="1">
      <c r="A14" s="231" t="s">
        <v>50</v>
      </c>
      <c r="B14" s="263" t="s">
        <v>700</v>
      </c>
      <c r="C14" s="308">
        <v>6.799845853585769</v>
      </c>
      <c r="D14" s="308">
        <v>6.606913889046798</v>
      </c>
      <c r="E14" s="308">
        <v>9.940538327933444</v>
      </c>
      <c r="F14" s="308">
        <v>9.554819285136475</v>
      </c>
      <c r="G14" s="308">
        <v>9.16570957664041</v>
      </c>
      <c r="H14" s="308">
        <v>8.772075384174535</v>
      </c>
    </row>
    <row r="15" spans="1:8" s="235" customFormat="1" ht="43.5" customHeight="1">
      <c r="A15" s="231" t="s">
        <v>51</v>
      </c>
      <c r="B15" s="263" t="s">
        <v>700</v>
      </c>
      <c r="C15" s="308">
        <v>17.888442748281392</v>
      </c>
      <c r="D15" s="308">
        <v>21.00821758601305</v>
      </c>
      <c r="E15" s="308">
        <v>18.042340742536787</v>
      </c>
      <c r="F15" s="308">
        <v>18.239434569574897</v>
      </c>
      <c r="G15" s="308">
        <v>18.45733559771352</v>
      </c>
      <c r="H15" s="308">
        <v>18.69754481952963</v>
      </c>
    </row>
    <row r="16" spans="1:8" s="235" customFormat="1" ht="45.75" customHeight="1">
      <c r="A16" s="231" t="s">
        <v>52</v>
      </c>
      <c r="B16" s="263" t="s">
        <v>700</v>
      </c>
      <c r="C16" s="308">
        <v>-11.088596894695623</v>
      </c>
      <c r="D16" s="308">
        <v>-14.401303696966252</v>
      </c>
      <c r="E16" s="308">
        <v>-8.101802414603343</v>
      </c>
      <c r="F16" s="308">
        <v>-8.684615284438422</v>
      </c>
      <c r="G16" s="308">
        <v>-9.29162602107311</v>
      </c>
      <c r="H16" s="308">
        <v>-9.925469435355094</v>
      </c>
    </row>
    <row r="17" spans="1:8" s="235" customFormat="1" ht="39.75" customHeight="1">
      <c r="A17" s="273" t="s">
        <v>698</v>
      </c>
      <c r="B17" s="242" t="s">
        <v>148</v>
      </c>
      <c r="C17" s="243" t="s">
        <v>857</v>
      </c>
      <c r="D17" s="243" t="s">
        <v>857</v>
      </c>
      <c r="E17" s="243" t="s">
        <v>857</v>
      </c>
      <c r="F17" s="243" t="s">
        <v>857</v>
      </c>
      <c r="G17" s="243" t="s">
        <v>857</v>
      </c>
      <c r="H17" s="243" t="s">
        <v>857</v>
      </c>
    </row>
    <row r="18" spans="1:8" s="235" customFormat="1" ht="21.75" customHeight="1">
      <c r="A18" s="269" t="s">
        <v>300</v>
      </c>
      <c r="B18" s="263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933</v>
      </c>
      <c r="B19" s="264" t="s">
        <v>887</v>
      </c>
      <c r="C19" s="243">
        <v>2.462</v>
      </c>
      <c r="D19" s="243">
        <v>0.629</v>
      </c>
      <c r="E19" s="243">
        <v>0.522</v>
      </c>
      <c r="F19" s="308">
        <v>0.6</v>
      </c>
      <c r="G19" s="308">
        <v>0.57</v>
      </c>
      <c r="H19" s="308">
        <v>0.542</v>
      </c>
      <c r="I19" s="235"/>
    </row>
    <row r="20" spans="1:9" s="234" customFormat="1" ht="56.25">
      <c r="A20" s="245" t="s">
        <v>934</v>
      </c>
      <c r="B20" s="264" t="s">
        <v>558</v>
      </c>
      <c r="C20" s="243">
        <v>6.11</v>
      </c>
      <c r="D20" s="243">
        <v>1.48</v>
      </c>
      <c r="E20" s="243">
        <v>1.25</v>
      </c>
      <c r="F20" s="307">
        <v>1.4365408097301697</v>
      </c>
      <c r="G20" s="307">
        <v>1.3673327416220884</v>
      </c>
      <c r="H20" s="307">
        <v>1.3026654168769678</v>
      </c>
      <c r="I20" s="235"/>
    </row>
    <row r="21" spans="1:9" s="234" customFormat="1" ht="93" customHeight="1">
      <c r="A21" s="245" t="s">
        <v>935</v>
      </c>
      <c r="B21" s="264" t="s">
        <v>595</v>
      </c>
      <c r="C21" s="243">
        <v>3.9</v>
      </c>
      <c r="D21" s="243">
        <v>1.4</v>
      </c>
      <c r="E21" s="243">
        <v>0.8</v>
      </c>
      <c r="F21" s="243">
        <v>1.1</v>
      </c>
      <c r="G21" s="243">
        <v>0.9</v>
      </c>
      <c r="H21" s="243">
        <v>0.9</v>
      </c>
      <c r="I21" s="235"/>
    </row>
    <row r="22" spans="1:9" s="234" customFormat="1" ht="37.5">
      <c r="A22" s="232" t="s">
        <v>297</v>
      </c>
      <c r="B22" s="264" t="s">
        <v>937</v>
      </c>
      <c r="C22" s="243">
        <v>7866.06</v>
      </c>
      <c r="D22" s="246">
        <f>D23*1000*D24*12/10^6</f>
        <v>8944.90128</v>
      </c>
      <c r="E22" s="246">
        <f>E23*1000*E24*12/10^6</f>
        <v>9731.094210360001</v>
      </c>
      <c r="F22" s="246">
        <f>F23*1000*F24*12/10^6</f>
        <v>10520.251364401014</v>
      </c>
      <c r="G22" s="246">
        <f>G23*1000*G24*12/10^6</f>
        <v>11098.811944089224</v>
      </c>
      <c r="H22" s="246">
        <f>H23*1000*H24*12/10^6</f>
        <v>11568.763388831821</v>
      </c>
      <c r="I22" s="235"/>
    </row>
    <row r="23" spans="1:9" s="234" customFormat="1" ht="38.25" customHeight="1">
      <c r="A23" s="245" t="s">
        <v>403</v>
      </c>
      <c r="B23" s="264" t="s">
        <v>887</v>
      </c>
      <c r="C23" s="243">
        <v>25</v>
      </c>
      <c r="D23" s="243">
        <v>25.2</v>
      </c>
      <c r="E23" s="243">
        <v>24.9</v>
      </c>
      <c r="F23" s="243">
        <v>24.5</v>
      </c>
      <c r="G23" s="243">
        <v>24</v>
      </c>
      <c r="H23" s="243">
        <v>23.5</v>
      </c>
      <c r="I23" s="235"/>
    </row>
    <row r="24" spans="1:9" s="234" customFormat="1" ht="24.75" customHeight="1">
      <c r="A24" s="274" t="s">
        <v>298</v>
      </c>
      <c r="B24" s="264" t="s">
        <v>641</v>
      </c>
      <c r="C24" s="243">
        <v>27299</v>
      </c>
      <c r="D24" s="243">
        <v>29579.7</v>
      </c>
      <c r="E24" s="246">
        <f>D24*E25/100</f>
        <v>32567.249699999997</v>
      </c>
      <c r="F24" s="246">
        <f>E24*F25/100</f>
        <v>35783.1679061259</v>
      </c>
      <c r="G24" s="246">
        <f>F24*G25/100</f>
        <v>38537.54147253203</v>
      </c>
      <c r="H24" s="246">
        <f>G24*H25/100</f>
        <v>41023.983648339796</v>
      </c>
      <c r="I24" s="235"/>
    </row>
    <row r="25" spans="1:9" s="234" customFormat="1" ht="45" customHeight="1">
      <c r="A25" s="274"/>
      <c r="B25" s="265" t="s">
        <v>395</v>
      </c>
      <c r="C25" s="247">
        <v>109.99234457472097</v>
      </c>
      <c r="D25" s="248">
        <f>D24/C24*100</f>
        <v>108.35451848053042</v>
      </c>
      <c r="E25" s="248">
        <v>110.1</v>
      </c>
      <c r="F25" s="248">
        <v>109.8747</v>
      </c>
      <c r="G25" s="248">
        <v>107.6974</v>
      </c>
      <c r="H25" s="248">
        <v>106.452</v>
      </c>
      <c r="I25" s="235"/>
    </row>
    <row r="26" spans="1:9" s="234" customFormat="1" ht="31.5" customHeight="1">
      <c r="A26" s="250" t="s">
        <v>299</v>
      </c>
      <c r="B26" s="264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377</v>
      </c>
      <c r="B27" s="264" t="s">
        <v>378</v>
      </c>
      <c r="C27" s="243">
        <v>15374.4112686236</v>
      </c>
      <c r="D27" s="243">
        <v>16542.866525038997</v>
      </c>
      <c r="E27" s="246">
        <f>D27*E25/100</f>
        <v>18213.696044067932</v>
      </c>
      <c r="F27" s="246">
        <f>E27*F25/100</f>
        <v>20012.243887331508</v>
      </c>
      <c r="G27" s="246">
        <f>F27*G25/100</f>
        <v>21552.666348314964</v>
      </c>
      <c r="H27" s="246">
        <f>G27*H25/100</f>
        <v>22943.24438110825</v>
      </c>
      <c r="I27" s="235"/>
    </row>
    <row r="28" spans="1:8" s="235" customFormat="1" ht="51.75" customHeight="1">
      <c r="A28" s="245" t="s">
        <v>636</v>
      </c>
      <c r="B28" s="264" t="s">
        <v>47</v>
      </c>
      <c r="C28" s="243">
        <v>99.99999999999982</v>
      </c>
      <c r="D28" s="243">
        <v>107.60000000000002</v>
      </c>
      <c r="E28" s="246">
        <f>E27/'1 Раздел_эконом показат'!E120/D27*10000</f>
        <v>92.75484414490309</v>
      </c>
      <c r="F28" s="246">
        <f>F27/'1 Раздел_эконом показат'!F120/E27*10000</f>
        <v>99.74834750921228</v>
      </c>
      <c r="G28" s="246">
        <f>G27/'1 Раздел_эконом показат'!G120/F27*10000</f>
        <v>102.61156060992947</v>
      </c>
      <c r="H28" s="246">
        <f>H27/'1 Раздел_эконом показат'!H120/G27*10000</f>
        <v>102.17377950458408</v>
      </c>
    </row>
    <row r="29" spans="1:9" s="234" customFormat="1" ht="56.25">
      <c r="A29" s="245" t="s">
        <v>642</v>
      </c>
      <c r="B29" s="264" t="s">
        <v>558</v>
      </c>
      <c r="C29" s="243">
        <v>3.9787178499061455</v>
      </c>
      <c r="D29" s="243">
        <v>1.0297010252935976</v>
      </c>
      <c r="E29" s="243">
        <f>ROUND(D29*1.08,3)</f>
        <v>1.112</v>
      </c>
      <c r="F29" s="243">
        <f>ROUND(E29*1.03,3)</f>
        <v>1.145</v>
      </c>
      <c r="G29" s="243">
        <f>ROUND(F29*0.93,3)</f>
        <v>1.065</v>
      </c>
      <c r="H29" s="243">
        <f>ROUND(G29*0.8,3)</f>
        <v>0.852</v>
      </c>
      <c r="I29" s="235"/>
    </row>
    <row r="30" spans="3:8" ht="18">
      <c r="C30" s="254"/>
      <c r="D30" s="254"/>
      <c r="E30" s="254"/>
      <c r="F30" s="254"/>
      <c r="G30" s="254"/>
      <c r="H30" s="254"/>
    </row>
    <row r="31" spans="3:8" ht="18">
      <c r="C31" s="254"/>
      <c r="D31" s="254"/>
      <c r="E31" s="254"/>
      <c r="F31" s="254"/>
      <c r="G31" s="254"/>
      <c r="H31" s="254"/>
    </row>
    <row r="32" spans="3:8" ht="18">
      <c r="C32" s="254"/>
      <c r="D32" s="254"/>
      <c r="E32" s="254"/>
      <c r="F32" s="254"/>
      <c r="G32" s="254"/>
      <c r="H32" s="254"/>
    </row>
    <row r="33" spans="3:8" ht="18">
      <c r="C33" s="254"/>
      <c r="D33" s="254"/>
      <c r="E33" s="254"/>
      <c r="F33" s="254"/>
      <c r="G33" s="254"/>
      <c r="H33" s="254"/>
    </row>
    <row r="34" spans="3:8" ht="18">
      <c r="C34" s="254"/>
      <c r="D34" s="254"/>
      <c r="E34" s="254"/>
      <c r="F34" s="254"/>
      <c r="G34" s="254"/>
      <c r="H34" s="254"/>
    </row>
    <row r="35" spans="3:8" ht="18">
      <c r="C35" s="254"/>
      <c r="D35" s="254"/>
      <c r="E35" s="254"/>
      <c r="F35" s="254"/>
      <c r="G35" s="254"/>
      <c r="H35" s="254"/>
    </row>
    <row r="36" spans="3:8" ht="18">
      <c r="C36" s="254"/>
      <c r="D36" s="254"/>
      <c r="E36" s="254"/>
      <c r="F36" s="254"/>
      <c r="G36" s="254"/>
      <c r="H36" s="254"/>
    </row>
    <row r="37" spans="3:8" ht="18">
      <c r="C37" s="254"/>
      <c r="D37" s="254"/>
      <c r="E37" s="254"/>
      <c r="F37" s="254"/>
      <c r="G37" s="254"/>
      <c r="H37" s="254"/>
    </row>
    <row r="38" spans="3:8" ht="18">
      <c r="C38" s="254"/>
      <c r="D38" s="254"/>
      <c r="E38" s="254"/>
      <c r="F38" s="254"/>
      <c r="G38" s="254"/>
      <c r="H38" s="254"/>
    </row>
    <row r="39" spans="3:8" ht="18">
      <c r="C39" s="254"/>
      <c r="D39" s="254"/>
      <c r="E39" s="254"/>
      <c r="F39" s="254"/>
      <c r="G39" s="254"/>
      <c r="H39" s="254"/>
    </row>
    <row r="40" spans="3:8" ht="18">
      <c r="C40" s="254"/>
      <c r="D40" s="254"/>
      <c r="E40" s="254"/>
      <c r="F40" s="254"/>
      <c r="G40" s="254"/>
      <c r="H40" s="254"/>
    </row>
    <row r="41" spans="3:8" ht="18">
      <c r="C41" s="254"/>
      <c r="D41" s="254"/>
      <c r="E41" s="254"/>
      <c r="F41" s="254"/>
      <c r="G41" s="254"/>
      <c r="H41" s="254"/>
    </row>
    <row r="42" spans="3:8" ht="18">
      <c r="C42" s="254"/>
      <c r="D42" s="254"/>
      <c r="E42" s="254"/>
      <c r="F42" s="254"/>
      <c r="G42" s="254"/>
      <c r="H42" s="254"/>
    </row>
    <row r="43" spans="3:8" ht="18">
      <c r="C43" s="254"/>
      <c r="D43" s="254"/>
      <c r="E43" s="254"/>
      <c r="F43" s="254"/>
      <c r="G43" s="254"/>
      <c r="H43" s="254"/>
    </row>
    <row r="44" spans="3:8" ht="18">
      <c r="C44" s="254"/>
      <c r="D44" s="254"/>
      <c r="E44" s="254"/>
      <c r="F44" s="254"/>
      <c r="G44" s="254"/>
      <c r="H44" s="254"/>
    </row>
    <row r="45" spans="3:8" ht="18">
      <c r="C45" s="254"/>
      <c r="D45" s="254"/>
      <c r="E45" s="254"/>
      <c r="F45" s="254"/>
      <c r="G45" s="254"/>
      <c r="H45" s="254"/>
    </row>
    <row r="46" spans="3:8" ht="18">
      <c r="C46" s="254"/>
      <c r="D46" s="254"/>
      <c r="E46" s="254"/>
      <c r="F46" s="254"/>
      <c r="G46" s="254"/>
      <c r="H46" s="254"/>
    </row>
    <row r="47" spans="3:8" ht="18">
      <c r="C47" s="254"/>
      <c r="D47" s="254"/>
      <c r="E47" s="254"/>
      <c r="F47" s="254"/>
      <c r="G47" s="254"/>
      <c r="H47" s="254"/>
    </row>
    <row r="48" spans="3:8" ht="18">
      <c r="C48" s="254"/>
      <c r="D48" s="254"/>
      <c r="E48" s="254"/>
      <c r="F48" s="254"/>
      <c r="G48" s="254"/>
      <c r="H48" s="254"/>
    </row>
    <row r="49" spans="3:8" ht="18">
      <c r="C49" s="254"/>
      <c r="D49" s="254"/>
      <c r="E49" s="254"/>
      <c r="F49" s="254"/>
      <c r="G49" s="254"/>
      <c r="H49" s="254"/>
    </row>
    <row r="50" spans="3:8" ht="18">
      <c r="C50" s="254"/>
      <c r="D50" s="254"/>
      <c r="E50" s="254"/>
      <c r="F50" s="254"/>
      <c r="G50" s="254"/>
      <c r="H50" s="254"/>
    </row>
    <row r="51" spans="3:8" ht="18">
      <c r="C51" s="254"/>
      <c r="D51" s="254"/>
      <c r="E51" s="254"/>
      <c r="F51" s="254"/>
      <c r="G51" s="254"/>
      <c r="H51" s="254"/>
    </row>
    <row r="52" spans="3:8" ht="18">
      <c r="C52" s="254"/>
      <c r="D52" s="254"/>
      <c r="E52" s="254"/>
      <c r="F52" s="254"/>
      <c r="G52" s="254"/>
      <c r="H52" s="254"/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fitToHeight="0" fitToWidth="1" horizontalDpi="600" verticalDpi="600" orientation="landscape" paperSize="9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1">
      <selection activeCell="D55" sqref="D55"/>
    </sheetView>
  </sheetViews>
  <sheetFormatPr defaultColWidth="8.875" defaultRowHeight="12.75"/>
  <cols>
    <col min="1" max="1" width="69.625" style="296" customWidth="1"/>
    <col min="2" max="2" width="10.00390625" style="297" customWidth="1"/>
    <col min="3" max="8" width="10.75390625" style="296" customWidth="1"/>
    <col min="9" max="9" width="5.75390625" style="3" customWidth="1"/>
    <col min="10" max="16384" width="8.875" style="2" customWidth="1"/>
  </cols>
  <sheetData>
    <row r="1" spans="1:9" ht="19.5" customHeight="1">
      <c r="A1" s="318" t="s">
        <v>409</v>
      </c>
      <c r="B1" s="318"/>
      <c r="C1" s="318"/>
      <c r="D1" s="318"/>
      <c r="E1" s="318"/>
      <c r="F1" s="318"/>
      <c r="G1" s="318"/>
      <c r="H1" s="318"/>
      <c r="I1" s="58"/>
    </row>
    <row r="2" spans="1:9" ht="19.5" customHeight="1">
      <c r="A2" s="321" t="s">
        <v>956</v>
      </c>
      <c r="B2" s="321"/>
      <c r="C2" s="321"/>
      <c r="D2" s="321"/>
      <c r="E2" s="321"/>
      <c r="F2" s="321"/>
      <c r="G2" s="321"/>
      <c r="H2" s="321"/>
      <c r="I2" s="58"/>
    </row>
    <row r="3" spans="1:8" ht="7.5" customHeight="1">
      <c r="A3" s="323"/>
      <c r="B3" s="323"/>
      <c r="C3" s="323"/>
      <c r="D3" s="323"/>
      <c r="E3" s="323"/>
      <c r="F3" s="323"/>
      <c r="G3" s="323"/>
      <c r="H3" s="323"/>
    </row>
    <row r="4" spans="1:8" ht="15.75" customHeight="1">
      <c r="A4" s="324" t="s">
        <v>541</v>
      </c>
      <c r="B4" s="326" t="s">
        <v>542</v>
      </c>
      <c r="C4" s="277" t="s">
        <v>548</v>
      </c>
      <c r="D4" s="277" t="s">
        <v>548</v>
      </c>
      <c r="E4" s="277" t="s">
        <v>549</v>
      </c>
      <c r="F4" s="120" t="s">
        <v>550</v>
      </c>
      <c r="G4" s="120"/>
      <c r="H4" s="120"/>
    </row>
    <row r="5" spans="1:8" ht="12" customHeight="1">
      <c r="A5" s="325"/>
      <c r="B5" s="327"/>
      <c r="C5" s="277">
        <v>2020</v>
      </c>
      <c r="D5" s="125">
        <v>2021</v>
      </c>
      <c r="E5" s="125">
        <v>2022</v>
      </c>
      <c r="F5" s="125">
        <v>2023</v>
      </c>
      <c r="G5" s="125">
        <v>2024</v>
      </c>
      <c r="H5" s="125">
        <v>2025</v>
      </c>
    </row>
    <row r="6" spans="1:9" s="283" customFormat="1" ht="16.5" customHeight="1">
      <c r="A6" s="278" t="s">
        <v>396</v>
      </c>
      <c r="B6" s="279" t="s">
        <v>938</v>
      </c>
      <c r="C6" s="309">
        <v>350</v>
      </c>
      <c r="D6" s="309">
        <v>2083.2</v>
      </c>
      <c r="E6" s="309">
        <v>680.5</v>
      </c>
      <c r="F6" s="281">
        <v>750.4</v>
      </c>
      <c r="G6" s="281">
        <v>800</v>
      </c>
      <c r="H6" s="281">
        <v>830</v>
      </c>
      <c r="I6" s="282"/>
    </row>
    <row r="7" spans="1:9" s="283" customFormat="1" ht="6" customHeight="1">
      <c r="A7" s="278"/>
      <c r="B7" s="279"/>
      <c r="C7" s="280"/>
      <c r="D7" s="280"/>
      <c r="E7" s="280"/>
      <c r="F7" s="281"/>
      <c r="G7" s="281"/>
      <c r="H7" s="281"/>
      <c r="I7" s="282"/>
    </row>
    <row r="8" spans="1:9" s="57" customFormat="1" ht="16.5" customHeight="1">
      <c r="A8" s="278" t="s">
        <v>415</v>
      </c>
      <c r="B8" s="279" t="s">
        <v>937</v>
      </c>
      <c r="C8" s="284">
        <v>2016.9</v>
      </c>
      <c r="D8" s="284">
        <v>1867.9</v>
      </c>
      <c r="E8" s="284">
        <v>3007.9</v>
      </c>
      <c r="F8" s="284">
        <v>1424.5</v>
      </c>
      <c r="G8" s="284">
        <v>1960.2</v>
      </c>
      <c r="H8" s="284">
        <v>1960.2</v>
      </c>
      <c r="I8" s="285"/>
    </row>
    <row r="9" spans="1:9" ht="15.75" customHeight="1">
      <c r="A9" s="286" t="s">
        <v>398</v>
      </c>
      <c r="B9" s="287"/>
      <c r="C9" s="284"/>
      <c r="D9" s="284"/>
      <c r="E9" s="284"/>
      <c r="F9" s="284"/>
      <c r="G9" s="284"/>
      <c r="H9" s="284"/>
      <c r="I9" s="182"/>
    </row>
    <row r="10" spans="1:9" ht="13.5" customHeight="1">
      <c r="A10" s="288" t="s">
        <v>416</v>
      </c>
      <c r="B10" s="279" t="s">
        <v>937</v>
      </c>
      <c r="C10" s="284">
        <v>377.1</v>
      </c>
      <c r="D10" s="284">
        <v>389.5</v>
      </c>
      <c r="E10" s="284">
        <v>387</v>
      </c>
      <c r="F10" s="284">
        <v>370</v>
      </c>
      <c r="G10" s="284">
        <v>376.4</v>
      </c>
      <c r="H10" s="284">
        <v>376.4</v>
      </c>
      <c r="I10" s="182"/>
    </row>
    <row r="11" spans="1:9" ht="13.5" customHeight="1">
      <c r="A11" s="289" t="s">
        <v>417</v>
      </c>
      <c r="B11" s="279" t="s">
        <v>937</v>
      </c>
      <c r="C11" s="284">
        <v>307.2</v>
      </c>
      <c r="D11" s="284">
        <v>320.8</v>
      </c>
      <c r="E11" s="284">
        <v>320.6</v>
      </c>
      <c r="F11" s="284">
        <v>320</v>
      </c>
      <c r="G11" s="284">
        <v>328.3</v>
      </c>
      <c r="H11" s="284">
        <v>328.3</v>
      </c>
      <c r="I11" s="182"/>
    </row>
    <row r="12" spans="1:9" s="57" customFormat="1" ht="15" customHeight="1">
      <c r="A12" s="290" t="s">
        <v>117</v>
      </c>
      <c r="B12" s="279" t="s">
        <v>937</v>
      </c>
      <c r="C12" s="291">
        <v>159.1</v>
      </c>
      <c r="D12" s="291">
        <v>171.3</v>
      </c>
      <c r="E12" s="291">
        <v>175.4</v>
      </c>
      <c r="F12" s="291">
        <v>175</v>
      </c>
      <c r="G12" s="291">
        <v>180.1</v>
      </c>
      <c r="H12" s="291">
        <v>180.1</v>
      </c>
      <c r="I12" s="285"/>
    </row>
    <row r="13" spans="1:9" ht="12.75" customHeight="1">
      <c r="A13" s="286" t="s">
        <v>118</v>
      </c>
      <c r="B13" s="279" t="s">
        <v>937</v>
      </c>
      <c r="C13" s="284">
        <v>159.1</v>
      </c>
      <c r="D13" s="284">
        <v>171.3</v>
      </c>
      <c r="E13" s="284">
        <v>175.4</v>
      </c>
      <c r="F13" s="284">
        <v>175</v>
      </c>
      <c r="G13" s="284">
        <v>180.1</v>
      </c>
      <c r="H13" s="284">
        <v>180.1</v>
      </c>
      <c r="I13" s="182"/>
    </row>
    <row r="14" spans="1:9" ht="25.5">
      <c r="A14" s="292" t="s">
        <v>418</v>
      </c>
      <c r="B14" s="279" t="s">
        <v>937</v>
      </c>
      <c r="C14" s="284">
        <v>7.2</v>
      </c>
      <c r="D14" s="284">
        <v>8.7</v>
      </c>
      <c r="E14" s="284">
        <v>8.9</v>
      </c>
      <c r="F14" s="284">
        <v>9.1</v>
      </c>
      <c r="G14" s="284">
        <v>9.2</v>
      </c>
      <c r="H14" s="284">
        <v>9.2</v>
      </c>
      <c r="I14" s="182"/>
    </row>
    <row r="15" spans="1:9" ht="25.5">
      <c r="A15" s="293" t="s">
        <v>408</v>
      </c>
      <c r="B15" s="279" t="s">
        <v>937</v>
      </c>
      <c r="C15" s="284">
        <v>7.2</v>
      </c>
      <c r="D15" s="284">
        <v>8.7</v>
      </c>
      <c r="E15" s="284">
        <v>8.9</v>
      </c>
      <c r="F15" s="284">
        <v>9.1</v>
      </c>
      <c r="G15" s="284">
        <v>9.2</v>
      </c>
      <c r="H15" s="284">
        <v>9.2</v>
      </c>
      <c r="I15" s="182"/>
    </row>
    <row r="16" spans="1:9" ht="57" customHeight="1">
      <c r="A16" s="294" t="s">
        <v>410</v>
      </c>
      <c r="B16" s="279" t="s">
        <v>937</v>
      </c>
      <c r="C16" s="284">
        <v>3.3</v>
      </c>
      <c r="D16" s="284">
        <v>4</v>
      </c>
      <c r="E16" s="284">
        <v>4</v>
      </c>
      <c r="F16" s="284">
        <v>4.1</v>
      </c>
      <c r="G16" s="284">
        <v>4</v>
      </c>
      <c r="H16" s="284">
        <v>4</v>
      </c>
      <c r="I16" s="182"/>
    </row>
    <row r="17" spans="1:9" ht="63.75">
      <c r="A17" s="294" t="s">
        <v>165</v>
      </c>
      <c r="B17" s="279" t="s">
        <v>937</v>
      </c>
      <c r="C17" s="284" t="s">
        <v>857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182"/>
    </row>
    <row r="18" spans="1:9" ht="51">
      <c r="A18" s="294" t="s">
        <v>187</v>
      </c>
      <c r="B18" s="279" t="s">
        <v>937</v>
      </c>
      <c r="C18" s="284">
        <v>4.5</v>
      </c>
      <c r="D18" s="284">
        <v>5.3</v>
      </c>
      <c r="E18" s="284">
        <v>5.4</v>
      </c>
      <c r="F18" s="284">
        <v>5.5</v>
      </c>
      <c r="G18" s="284">
        <v>5.7</v>
      </c>
      <c r="H18" s="284">
        <v>5.7</v>
      </c>
      <c r="I18" s="182"/>
    </row>
    <row r="19" spans="1:9" ht="51">
      <c r="A19" s="294" t="s">
        <v>188</v>
      </c>
      <c r="B19" s="279" t="s">
        <v>937</v>
      </c>
      <c r="C19" s="284">
        <v>-0.6</v>
      </c>
      <c r="D19" s="284">
        <v>-0.6</v>
      </c>
      <c r="E19" s="284">
        <v>-0.5</v>
      </c>
      <c r="F19" s="284">
        <v>-0.5</v>
      </c>
      <c r="G19" s="284">
        <v>-0.5</v>
      </c>
      <c r="H19" s="284">
        <v>-0.5</v>
      </c>
      <c r="I19" s="182"/>
    </row>
    <row r="20" spans="1:9" s="57" customFormat="1" ht="17.25" customHeight="1">
      <c r="A20" s="295" t="s">
        <v>419</v>
      </c>
      <c r="B20" s="279" t="s">
        <v>937</v>
      </c>
      <c r="C20" s="284">
        <v>37.4</v>
      </c>
      <c r="D20" s="284">
        <v>35.1</v>
      </c>
      <c r="E20" s="284">
        <v>32.8</v>
      </c>
      <c r="F20" s="284">
        <v>30.4</v>
      </c>
      <c r="G20" s="284">
        <v>32.3</v>
      </c>
      <c r="H20" s="284">
        <v>32.3</v>
      </c>
      <c r="I20" s="285"/>
    </row>
    <row r="21" spans="1:9" s="57" customFormat="1" ht="29.25" customHeight="1">
      <c r="A21" s="286" t="s">
        <v>951</v>
      </c>
      <c r="B21" s="279" t="s">
        <v>937</v>
      </c>
      <c r="C21" s="284">
        <v>0</v>
      </c>
      <c r="D21" s="284">
        <v>15</v>
      </c>
      <c r="E21" s="284">
        <v>19.7</v>
      </c>
      <c r="F21" s="284">
        <v>15.3</v>
      </c>
      <c r="G21" s="284">
        <v>16.2</v>
      </c>
      <c r="H21" s="284">
        <v>16.2</v>
      </c>
      <c r="I21" s="285"/>
    </row>
    <row r="22" spans="1:9" s="57" customFormat="1" ht="21" customHeight="1">
      <c r="A22" s="286" t="s">
        <v>948</v>
      </c>
      <c r="B22" s="279" t="s">
        <v>937</v>
      </c>
      <c r="C22" s="284">
        <v>28.4</v>
      </c>
      <c r="D22" s="284">
        <v>8</v>
      </c>
      <c r="E22" s="284">
        <v>0</v>
      </c>
      <c r="F22" s="284">
        <v>0</v>
      </c>
      <c r="G22" s="284">
        <v>0</v>
      </c>
      <c r="H22" s="284">
        <v>0</v>
      </c>
      <c r="I22" s="285"/>
    </row>
    <row r="23" spans="1:9" s="57" customFormat="1" ht="15" customHeight="1">
      <c r="A23" s="286" t="s">
        <v>949</v>
      </c>
      <c r="B23" s="279" t="s">
        <v>937</v>
      </c>
      <c r="C23" s="284" t="s">
        <v>857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5"/>
    </row>
    <row r="24" spans="1:9" ht="29.25" customHeight="1">
      <c r="A24" s="286" t="s">
        <v>950</v>
      </c>
      <c r="B24" s="279" t="s">
        <v>937</v>
      </c>
      <c r="C24" s="284">
        <v>9</v>
      </c>
      <c r="D24" s="284">
        <v>12.1</v>
      </c>
      <c r="E24" s="284">
        <v>13</v>
      </c>
      <c r="F24" s="284">
        <v>15</v>
      </c>
      <c r="G24" s="284">
        <v>16</v>
      </c>
      <c r="H24" s="284">
        <v>16</v>
      </c>
      <c r="I24" s="182"/>
    </row>
    <row r="25" spans="1:9" s="57" customFormat="1" ht="13.5" customHeight="1">
      <c r="A25" s="290" t="s">
        <v>420</v>
      </c>
      <c r="B25" s="279" t="s">
        <v>937</v>
      </c>
      <c r="C25" s="284">
        <v>92.5</v>
      </c>
      <c r="D25" s="284">
        <v>94.7</v>
      </c>
      <c r="E25" s="284">
        <v>92</v>
      </c>
      <c r="F25" s="284">
        <v>93.5</v>
      </c>
      <c r="G25" s="284">
        <v>94.5</v>
      </c>
      <c r="H25" s="284">
        <v>94.5</v>
      </c>
      <c r="I25" s="285"/>
    </row>
    <row r="26" spans="1:9" ht="15" customHeight="1">
      <c r="A26" s="286" t="s">
        <v>157</v>
      </c>
      <c r="B26" s="279" t="s">
        <v>937</v>
      </c>
      <c r="C26" s="284">
        <v>13.9</v>
      </c>
      <c r="D26" s="284">
        <v>14.5</v>
      </c>
      <c r="E26" s="284">
        <v>14</v>
      </c>
      <c r="F26" s="284">
        <v>14</v>
      </c>
      <c r="G26" s="284">
        <v>14</v>
      </c>
      <c r="H26" s="284">
        <v>14</v>
      </c>
      <c r="I26" s="182"/>
    </row>
    <row r="27" spans="1:9" ht="13.5" customHeight="1">
      <c r="A27" s="286" t="s">
        <v>173</v>
      </c>
      <c r="B27" s="279" t="s">
        <v>937</v>
      </c>
      <c r="C27" s="284">
        <v>78.6</v>
      </c>
      <c r="D27" s="284">
        <v>80.2</v>
      </c>
      <c r="E27" s="284">
        <v>78</v>
      </c>
      <c r="F27" s="284">
        <v>79.5</v>
      </c>
      <c r="G27" s="284">
        <v>80.5</v>
      </c>
      <c r="H27" s="284">
        <v>80.5</v>
      </c>
      <c r="I27" s="182"/>
    </row>
    <row r="28" spans="1:8" ht="15">
      <c r="A28" s="290" t="s">
        <v>158</v>
      </c>
      <c r="B28" s="279" t="s">
        <v>937</v>
      </c>
      <c r="C28" s="284" t="s">
        <v>857</v>
      </c>
      <c r="D28" s="284">
        <v>0</v>
      </c>
      <c r="E28" s="284">
        <v>0</v>
      </c>
      <c r="F28" s="284">
        <v>0</v>
      </c>
      <c r="G28" s="284">
        <v>0</v>
      </c>
      <c r="H28" s="284">
        <v>0</v>
      </c>
    </row>
    <row r="29" spans="1:8" ht="15.75" customHeight="1">
      <c r="A29" s="286" t="s">
        <v>159</v>
      </c>
      <c r="B29" s="279" t="s">
        <v>937</v>
      </c>
      <c r="C29" s="284" t="s">
        <v>857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</row>
    <row r="30" spans="1:8" ht="14.25" customHeight="1">
      <c r="A30" s="290" t="s">
        <v>160</v>
      </c>
      <c r="B30" s="279" t="s">
        <v>937</v>
      </c>
      <c r="C30" s="284">
        <v>11.1</v>
      </c>
      <c r="D30" s="284">
        <v>11.1</v>
      </c>
      <c r="E30" s="284">
        <v>11.5</v>
      </c>
      <c r="F30" s="284">
        <v>12</v>
      </c>
      <c r="G30" s="284">
        <v>12.2</v>
      </c>
      <c r="H30" s="284">
        <v>12.2</v>
      </c>
    </row>
    <row r="31" spans="1:8" ht="28.5" customHeight="1">
      <c r="A31" s="290" t="s">
        <v>161</v>
      </c>
      <c r="B31" s="279" t="s">
        <v>937</v>
      </c>
      <c r="C31" s="284" t="s">
        <v>857</v>
      </c>
      <c r="D31" s="284">
        <v>-0.1</v>
      </c>
      <c r="E31" s="284">
        <v>0</v>
      </c>
      <c r="F31" s="284">
        <v>0</v>
      </c>
      <c r="G31" s="284">
        <v>0</v>
      </c>
      <c r="H31" s="284">
        <v>0</v>
      </c>
    </row>
    <row r="32" spans="1:8" ht="15.75" customHeight="1">
      <c r="A32" s="289" t="s">
        <v>162</v>
      </c>
      <c r="B32" s="279" t="s">
        <v>937</v>
      </c>
      <c r="C32" s="284">
        <v>69.9</v>
      </c>
      <c r="D32" s="284">
        <v>68.7</v>
      </c>
      <c r="E32" s="284">
        <v>66.4</v>
      </c>
      <c r="F32" s="284">
        <v>50</v>
      </c>
      <c r="G32" s="284">
        <v>48.1</v>
      </c>
      <c r="H32" s="284">
        <v>48.1</v>
      </c>
    </row>
    <row r="33" spans="1:8" ht="24.75" customHeight="1">
      <c r="A33" s="290" t="s">
        <v>163</v>
      </c>
      <c r="B33" s="279" t="s">
        <v>937</v>
      </c>
      <c r="C33" s="284">
        <v>39.6</v>
      </c>
      <c r="D33" s="284">
        <v>32.7</v>
      </c>
      <c r="E33" s="284">
        <v>35.4</v>
      </c>
      <c r="F33" s="284">
        <v>30.7</v>
      </c>
      <c r="G33" s="284">
        <v>28.3</v>
      </c>
      <c r="H33" s="284">
        <v>28.3</v>
      </c>
    </row>
    <row r="34" spans="1:8" ht="16.5" customHeight="1">
      <c r="A34" s="290" t="s">
        <v>164</v>
      </c>
      <c r="B34" s="279" t="s">
        <v>937</v>
      </c>
      <c r="C34" s="284">
        <v>0.3</v>
      </c>
      <c r="D34" s="284">
        <v>1.7</v>
      </c>
      <c r="E34" s="284">
        <v>1.3</v>
      </c>
      <c r="F34" s="284">
        <v>1.3</v>
      </c>
      <c r="G34" s="284">
        <v>1.4</v>
      </c>
      <c r="H34" s="284">
        <v>1.4</v>
      </c>
    </row>
    <row r="35" spans="1:8" ht="20.25" customHeight="1">
      <c r="A35" s="290" t="s">
        <v>189</v>
      </c>
      <c r="B35" s="279" t="s">
        <v>937</v>
      </c>
      <c r="C35" s="284">
        <v>3</v>
      </c>
      <c r="D35" s="284">
        <v>5.7</v>
      </c>
      <c r="E35" s="284">
        <v>3</v>
      </c>
      <c r="F35" s="284">
        <v>3.2</v>
      </c>
      <c r="G35" s="284">
        <v>3.2</v>
      </c>
      <c r="H35" s="284">
        <v>3.2</v>
      </c>
    </row>
    <row r="36" spans="1:8" ht="15" customHeight="1">
      <c r="A36" s="290" t="s">
        <v>190</v>
      </c>
      <c r="B36" s="279" t="s">
        <v>937</v>
      </c>
      <c r="C36" s="284">
        <v>20.5</v>
      </c>
      <c r="D36" s="284">
        <v>19.6</v>
      </c>
      <c r="E36" s="284">
        <v>20</v>
      </c>
      <c r="F36" s="284">
        <v>9.6</v>
      </c>
      <c r="G36" s="284">
        <v>9.9</v>
      </c>
      <c r="H36" s="284">
        <v>9.9</v>
      </c>
    </row>
    <row r="37" spans="1:8" ht="24.75" customHeight="1">
      <c r="A37" s="286" t="s">
        <v>191</v>
      </c>
      <c r="B37" s="279" t="s">
        <v>937</v>
      </c>
      <c r="C37" s="284">
        <v>7.1</v>
      </c>
      <c r="D37" s="284">
        <v>0.8</v>
      </c>
      <c r="E37" s="284">
        <v>10</v>
      </c>
      <c r="F37" s="284">
        <v>4.8</v>
      </c>
      <c r="G37" s="284">
        <v>4.9</v>
      </c>
      <c r="H37" s="284">
        <v>4.9</v>
      </c>
    </row>
    <row r="38" spans="1:8" ht="15.75" customHeight="1">
      <c r="A38" s="290" t="s">
        <v>192</v>
      </c>
      <c r="B38" s="279" t="s">
        <v>937</v>
      </c>
      <c r="C38" s="284" t="s">
        <v>857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</row>
    <row r="39" spans="1:8" ht="13.5" customHeight="1">
      <c r="A39" s="290" t="s">
        <v>193</v>
      </c>
      <c r="B39" s="279" t="s">
        <v>937</v>
      </c>
      <c r="C39" s="284">
        <v>1.7</v>
      </c>
      <c r="D39" s="284">
        <v>2.2</v>
      </c>
      <c r="E39" s="284">
        <v>0.5</v>
      </c>
      <c r="F39" s="284">
        <v>0.4</v>
      </c>
      <c r="G39" s="284">
        <v>0.4</v>
      </c>
      <c r="H39" s="284">
        <v>0.4</v>
      </c>
    </row>
    <row r="40" spans="1:8" ht="18" customHeight="1">
      <c r="A40" s="290" t="s">
        <v>194</v>
      </c>
      <c r="B40" s="279" t="s">
        <v>937</v>
      </c>
      <c r="C40" s="284">
        <v>4.8</v>
      </c>
      <c r="D40" s="284">
        <v>6.8</v>
      </c>
      <c r="E40" s="284">
        <v>6.2</v>
      </c>
      <c r="F40" s="284">
        <v>4.8</v>
      </c>
      <c r="G40" s="284">
        <v>4.9</v>
      </c>
      <c r="H40" s="284">
        <v>4.9</v>
      </c>
    </row>
    <row r="41" spans="1:8" ht="15" customHeight="1">
      <c r="A41" s="288" t="s">
        <v>195</v>
      </c>
      <c r="B41" s="279" t="s">
        <v>937</v>
      </c>
      <c r="C41" s="284">
        <v>1639.8</v>
      </c>
      <c r="D41" s="284">
        <v>1478.4</v>
      </c>
      <c r="E41" s="284">
        <v>2620.9</v>
      </c>
      <c r="F41" s="284">
        <v>1054.5</v>
      </c>
      <c r="G41" s="284">
        <v>1583.8</v>
      </c>
      <c r="H41" s="284">
        <v>1583.8</v>
      </c>
    </row>
    <row r="42" spans="1:8" ht="14.25" customHeight="1">
      <c r="A42" s="286" t="s">
        <v>398</v>
      </c>
      <c r="B42" s="287"/>
      <c r="C42" s="284"/>
      <c r="D42" s="284"/>
      <c r="E42" s="284"/>
      <c r="F42" s="284"/>
      <c r="G42" s="284"/>
      <c r="H42" s="284"/>
    </row>
    <row r="43" spans="1:8" ht="21" customHeight="1">
      <c r="A43" s="286" t="s">
        <v>196</v>
      </c>
      <c r="B43" s="279" t="s">
        <v>937</v>
      </c>
      <c r="C43" s="284">
        <v>1639</v>
      </c>
      <c r="D43" s="284">
        <v>1479.2</v>
      </c>
      <c r="E43" s="284">
        <v>2628.2</v>
      </c>
      <c r="F43" s="284">
        <v>1054.5</v>
      </c>
      <c r="G43" s="284">
        <v>1583.8</v>
      </c>
      <c r="H43" s="284">
        <v>1583.8</v>
      </c>
    </row>
    <row r="44" spans="1:8" ht="18.75" customHeight="1">
      <c r="A44" s="286" t="s">
        <v>174</v>
      </c>
      <c r="B44" s="287"/>
      <c r="C44" s="284">
        <v>1.6</v>
      </c>
      <c r="D44" s="284">
        <v>0.6</v>
      </c>
      <c r="E44" s="284">
        <v>0</v>
      </c>
      <c r="F44" s="284">
        <v>0</v>
      </c>
      <c r="G44" s="284">
        <v>0</v>
      </c>
      <c r="H44" s="284">
        <v>0</v>
      </c>
    </row>
    <row r="45" spans="1:8" ht="50.25" customHeight="1">
      <c r="A45" s="286" t="s">
        <v>175</v>
      </c>
      <c r="B45" s="279" t="s">
        <v>937</v>
      </c>
      <c r="C45" s="284" t="s">
        <v>857</v>
      </c>
      <c r="D45" s="284">
        <v>0</v>
      </c>
      <c r="E45" s="284">
        <v>0</v>
      </c>
      <c r="F45" s="284">
        <v>0</v>
      </c>
      <c r="G45" s="284">
        <v>0</v>
      </c>
      <c r="H45" s="284">
        <v>0</v>
      </c>
    </row>
    <row r="46" spans="1:8" ht="27.75" customHeight="1">
      <c r="A46" s="286" t="s">
        <v>176</v>
      </c>
      <c r="B46" s="279" t="s">
        <v>937</v>
      </c>
      <c r="C46" s="284">
        <v>-0.8</v>
      </c>
      <c r="D46" s="284">
        <v>-1.4</v>
      </c>
      <c r="E46" s="284">
        <v>-7.3</v>
      </c>
      <c r="F46" s="284">
        <v>0</v>
      </c>
      <c r="G46" s="284">
        <v>0</v>
      </c>
      <c r="H46" s="284">
        <v>0</v>
      </c>
    </row>
    <row r="47" spans="1:8" ht="8.25" customHeight="1">
      <c r="A47" s="288"/>
      <c r="B47" s="287"/>
      <c r="C47" s="284"/>
      <c r="D47" s="284"/>
      <c r="E47" s="284"/>
      <c r="F47" s="284"/>
      <c r="G47" s="284"/>
      <c r="H47" s="284"/>
    </row>
    <row r="48" spans="1:8" ht="25.5">
      <c r="A48" s="278" t="s">
        <v>177</v>
      </c>
      <c r="B48" s="279" t="s">
        <v>937</v>
      </c>
      <c r="C48" s="284">
        <v>1977.6000000000001</v>
      </c>
      <c r="D48" s="284">
        <v>1859.1999999999998</v>
      </c>
      <c r="E48" s="284">
        <v>3065.0999999999995</v>
      </c>
      <c r="F48" s="284">
        <v>1329.7999999999997</v>
      </c>
      <c r="G48" s="284">
        <v>1884</v>
      </c>
      <c r="H48" s="284">
        <v>1884</v>
      </c>
    </row>
    <row r="49" spans="1:8" ht="13.5" customHeight="1">
      <c r="A49" s="286" t="s">
        <v>398</v>
      </c>
      <c r="B49" s="287"/>
      <c r="C49" s="284"/>
      <c r="D49" s="284"/>
      <c r="E49" s="284"/>
      <c r="F49" s="284"/>
      <c r="G49" s="284"/>
      <c r="H49" s="284"/>
    </row>
    <row r="50" spans="1:8" ht="15">
      <c r="A50" s="289" t="s">
        <v>197</v>
      </c>
      <c r="B50" s="279" t="s">
        <v>937</v>
      </c>
      <c r="C50" s="284">
        <v>103.2</v>
      </c>
      <c r="D50" s="284">
        <v>109.2</v>
      </c>
      <c r="E50" s="284">
        <v>155.6</v>
      </c>
      <c r="F50" s="284">
        <v>106.3</v>
      </c>
      <c r="G50" s="284">
        <v>106.4</v>
      </c>
      <c r="H50" s="284">
        <v>106.4</v>
      </c>
    </row>
    <row r="51" spans="1:8" ht="15">
      <c r="A51" s="289" t="s">
        <v>198</v>
      </c>
      <c r="B51" s="279" t="s">
        <v>937</v>
      </c>
      <c r="C51" s="284">
        <v>0</v>
      </c>
      <c r="D51" s="284" t="s">
        <v>857</v>
      </c>
      <c r="E51" s="284" t="s">
        <v>857</v>
      </c>
      <c r="F51" s="284" t="s">
        <v>857</v>
      </c>
      <c r="G51" s="284" t="s">
        <v>857</v>
      </c>
      <c r="H51" s="284" t="s">
        <v>857</v>
      </c>
    </row>
    <row r="52" spans="1:8" ht="15">
      <c r="A52" s="289" t="s">
        <v>199</v>
      </c>
      <c r="B52" s="279" t="s">
        <v>937</v>
      </c>
      <c r="C52" s="284">
        <v>17.6</v>
      </c>
      <c r="D52" s="284">
        <v>18.3</v>
      </c>
      <c r="E52" s="284">
        <v>20.4</v>
      </c>
      <c r="F52" s="284">
        <v>18.6</v>
      </c>
      <c r="G52" s="284">
        <v>18.6</v>
      </c>
      <c r="H52" s="284">
        <v>18.6</v>
      </c>
    </row>
    <row r="53" spans="1:8" ht="15">
      <c r="A53" s="289" t="s">
        <v>200</v>
      </c>
      <c r="B53" s="279" t="s">
        <v>937</v>
      </c>
      <c r="C53" s="284">
        <v>477.2</v>
      </c>
      <c r="D53" s="284">
        <v>225.6</v>
      </c>
      <c r="E53" s="284">
        <v>329.1</v>
      </c>
      <c r="F53" s="284">
        <v>95.6</v>
      </c>
      <c r="G53" s="284">
        <v>75.5</v>
      </c>
      <c r="H53" s="284">
        <v>75.5</v>
      </c>
    </row>
    <row r="54" spans="1:8" ht="15">
      <c r="A54" s="289" t="s">
        <v>201</v>
      </c>
      <c r="B54" s="279" t="s">
        <v>937</v>
      </c>
      <c r="C54" s="284">
        <v>236.5</v>
      </c>
      <c r="D54" s="284">
        <v>116.4</v>
      </c>
      <c r="E54" s="284">
        <v>372.7</v>
      </c>
      <c r="F54" s="284">
        <v>44.8</v>
      </c>
      <c r="G54" s="284">
        <v>44.8</v>
      </c>
      <c r="H54" s="284">
        <v>44.8</v>
      </c>
    </row>
    <row r="55" spans="1:8" ht="15">
      <c r="A55" s="289" t="s">
        <v>202</v>
      </c>
      <c r="B55" s="279" t="s">
        <v>937</v>
      </c>
      <c r="C55" s="284">
        <v>17.5</v>
      </c>
      <c r="D55" s="284">
        <v>227.4</v>
      </c>
      <c r="E55" s="284">
        <v>1043.3</v>
      </c>
      <c r="F55" s="284">
        <v>208.1</v>
      </c>
      <c r="G55" s="284">
        <v>750.2</v>
      </c>
      <c r="H55" s="284">
        <v>750.2</v>
      </c>
    </row>
    <row r="56" spans="1:8" ht="15">
      <c r="A56" s="289" t="s">
        <v>178</v>
      </c>
      <c r="B56" s="279" t="s">
        <v>937</v>
      </c>
      <c r="C56" s="284">
        <v>883.2</v>
      </c>
      <c r="D56" s="284">
        <v>1031.1</v>
      </c>
      <c r="E56" s="284">
        <v>987.6</v>
      </c>
      <c r="F56" s="284">
        <v>765.3</v>
      </c>
      <c r="G56" s="284">
        <v>797.2</v>
      </c>
      <c r="H56" s="284">
        <v>797.2</v>
      </c>
    </row>
    <row r="57" spans="1:8" ht="15">
      <c r="A57" s="289" t="s">
        <v>179</v>
      </c>
      <c r="B57" s="279" t="s">
        <v>937</v>
      </c>
      <c r="C57" s="284">
        <v>59.3</v>
      </c>
      <c r="D57" s="284">
        <v>64.3</v>
      </c>
      <c r="E57" s="284">
        <v>70</v>
      </c>
      <c r="F57" s="284">
        <v>40.2</v>
      </c>
      <c r="G57" s="284">
        <v>40.4</v>
      </c>
      <c r="H57" s="284">
        <v>40.4</v>
      </c>
    </row>
    <row r="58" spans="1:8" ht="15">
      <c r="A58" s="289" t="s">
        <v>180</v>
      </c>
      <c r="B58" s="279" t="s">
        <v>937</v>
      </c>
      <c r="C58" s="284">
        <v>0</v>
      </c>
      <c r="D58" s="284" t="s">
        <v>857</v>
      </c>
      <c r="E58" s="284" t="s">
        <v>857</v>
      </c>
      <c r="F58" s="284" t="s">
        <v>857</v>
      </c>
      <c r="G58" s="284" t="s">
        <v>857</v>
      </c>
      <c r="H58" s="284" t="s">
        <v>857</v>
      </c>
    </row>
    <row r="59" spans="1:8" ht="15">
      <c r="A59" s="289" t="s">
        <v>181</v>
      </c>
      <c r="B59" s="279" t="s">
        <v>937</v>
      </c>
      <c r="C59" s="284">
        <v>26.2</v>
      </c>
      <c r="D59" s="284">
        <v>16.6</v>
      </c>
      <c r="E59" s="284">
        <v>30.9</v>
      </c>
      <c r="F59" s="284">
        <v>12.8</v>
      </c>
      <c r="G59" s="284">
        <v>12.8</v>
      </c>
      <c r="H59" s="284">
        <v>12.8</v>
      </c>
    </row>
    <row r="60" spans="1:8" ht="15">
      <c r="A60" s="289" t="s">
        <v>182</v>
      </c>
      <c r="B60" s="279" t="s">
        <v>937</v>
      </c>
      <c r="C60" s="284">
        <v>141.7</v>
      </c>
      <c r="D60" s="284">
        <v>39.3</v>
      </c>
      <c r="E60" s="284">
        <v>38.1</v>
      </c>
      <c r="F60" s="284">
        <v>23.9</v>
      </c>
      <c r="G60" s="284">
        <v>23.9</v>
      </c>
      <c r="H60" s="284">
        <v>23.9</v>
      </c>
    </row>
    <row r="61" spans="1:8" ht="15">
      <c r="A61" s="289" t="s">
        <v>183</v>
      </c>
      <c r="B61" s="279" t="s">
        <v>937</v>
      </c>
      <c r="C61" s="284">
        <v>1.5</v>
      </c>
      <c r="D61" s="284">
        <v>1.8</v>
      </c>
      <c r="E61" s="284">
        <v>2.2</v>
      </c>
      <c r="F61" s="284">
        <v>2.1</v>
      </c>
      <c r="G61" s="284">
        <v>2.1</v>
      </c>
      <c r="H61" s="284">
        <v>2.1</v>
      </c>
    </row>
    <row r="62" spans="1:8" ht="18.75" customHeight="1">
      <c r="A62" s="289" t="s">
        <v>184</v>
      </c>
      <c r="B62" s="279" t="s">
        <v>937</v>
      </c>
      <c r="C62" s="284">
        <v>13.7</v>
      </c>
      <c r="D62" s="284">
        <v>9.2</v>
      </c>
      <c r="E62" s="284">
        <v>15.2</v>
      </c>
      <c r="F62" s="284">
        <v>12.1</v>
      </c>
      <c r="G62" s="284">
        <v>12.1</v>
      </c>
      <c r="H62" s="284">
        <v>12.1</v>
      </c>
    </row>
    <row r="63" spans="1:8" ht="30" customHeight="1">
      <c r="A63" s="289" t="s">
        <v>185</v>
      </c>
      <c r="B63" s="279" t="s">
        <v>937</v>
      </c>
      <c r="C63" s="284"/>
      <c r="D63" s="284"/>
      <c r="E63" s="284"/>
      <c r="F63" s="284"/>
      <c r="G63" s="284"/>
      <c r="H63" s="284"/>
    </row>
    <row r="64" spans="1:8" ht="15">
      <c r="A64" s="278" t="s">
        <v>186</v>
      </c>
      <c r="B64" s="279" t="s">
        <v>937</v>
      </c>
      <c r="C64" s="284">
        <v>39.299999999999955</v>
      </c>
      <c r="D64" s="284">
        <v>8.700000000000273</v>
      </c>
      <c r="E64" s="284">
        <v>-57.19999999999936</v>
      </c>
      <c r="F64" s="284">
        <v>94.70000000000027</v>
      </c>
      <c r="G64" s="284">
        <v>76.20000000000005</v>
      </c>
      <c r="H64" s="284">
        <v>76.20000000000005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3937007874015748" header="0" footer="0"/>
  <pageSetup horizontalDpi="600" verticalDpi="600" orientation="landscape" paperSize="9" scale="80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40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1" sqref="D11"/>
    </sheetView>
  </sheetViews>
  <sheetFormatPr defaultColWidth="8.875" defaultRowHeight="12.75"/>
  <cols>
    <col min="1" max="1" width="45.125" style="258" customWidth="1"/>
    <col min="2" max="2" width="16.875" style="258" customWidth="1"/>
    <col min="3" max="8" width="13.75390625" style="258" customWidth="1"/>
    <col min="9" max="9" width="5.75390625" style="257" hidden="1" customWidth="1"/>
    <col min="10" max="16384" width="8.875" style="258" customWidth="1"/>
  </cols>
  <sheetData>
    <row r="1" spans="1:8" ht="45.75" customHeight="1">
      <c r="A1" s="318" t="s">
        <v>952</v>
      </c>
      <c r="B1" s="318"/>
      <c r="C1" s="318"/>
      <c r="D1" s="318"/>
      <c r="E1" s="318"/>
      <c r="F1" s="318"/>
      <c r="G1" s="318"/>
      <c r="H1" s="318"/>
    </row>
    <row r="2" spans="1:8" ht="15.75" customHeight="1">
      <c r="A2" s="321" t="s">
        <v>956</v>
      </c>
      <c r="B2" s="321"/>
      <c r="C2" s="321"/>
      <c r="D2" s="321"/>
      <c r="E2" s="321"/>
      <c r="F2" s="321"/>
      <c r="G2" s="321"/>
      <c r="H2" s="321"/>
    </row>
    <row r="3" spans="1:8" ht="27" customHeight="1">
      <c r="A3" s="328" t="s">
        <v>283</v>
      </c>
      <c r="B3" s="328"/>
      <c r="C3" s="328"/>
      <c r="D3" s="328"/>
      <c r="E3" s="328"/>
      <c r="F3" s="328"/>
      <c r="G3" s="328"/>
      <c r="H3" s="328"/>
    </row>
    <row r="4" spans="1:9" s="238" customFormat="1" ht="27" customHeight="1">
      <c r="A4" s="316" t="s">
        <v>541</v>
      </c>
      <c r="B4" s="316" t="s">
        <v>542</v>
      </c>
      <c r="C4" s="236" t="s">
        <v>548</v>
      </c>
      <c r="D4" s="236" t="s">
        <v>548</v>
      </c>
      <c r="E4" s="236" t="s">
        <v>549</v>
      </c>
      <c r="F4" s="330" t="s">
        <v>550</v>
      </c>
      <c r="G4" s="331"/>
      <c r="H4" s="332"/>
      <c r="I4" s="237"/>
    </row>
    <row r="5" spans="1:9" s="238" customFormat="1" ht="10.5" customHeight="1">
      <c r="A5" s="329"/>
      <c r="B5" s="329"/>
      <c r="C5" s="316">
        <v>2020</v>
      </c>
      <c r="D5" s="316">
        <v>2021</v>
      </c>
      <c r="E5" s="316">
        <v>2022</v>
      </c>
      <c r="F5" s="316">
        <v>2023</v>
      </c>
      <c r="G5" s="316">
        <v>2024</v>
      </c>
      <c r="H5" s="314">
        <v>2025</v>
      </c>
      <c r="I5" s="256"/>
    </row>
    <row r="6" spans="1:9" s="238" customFormat="1" ht="19.5" customHeight="1">
      <c r="A6" s="317"/>
      <c r="B6" s="317"/>
      <c r="C6" s="317"/>
      <c r="D6" s="317"/>
      <c r="E6" s="317"/>
      <c r="F6" s="317"/>
      <c r="G6" s="317"/>
      <c r="H6" s="314"/>
      <c r="I6" s="256"/>
    </row>
    <row r="7" spans="1:8" ht="24" customHeight="1">
      <c r="A7" s="301" t="s">
        <v>942</v>
      </c>
      <c r="B7" s="302" t="s">
        <v>217</v>
      </c>
      <c r="C7" s="259">
        <v>115017.78</v>
      </c>
      <c r="D7" s="259">
        <f>INT(D8/100*C7)</f>
        <v>127018</v>
      </c>
      <c r="E7" s="259">
        <f>INT(E8/100*D7)</f>
        <v>131320</v>
      </c>
      <c r="F7" s="259">
        <f>INT(F8/100*E7)</f>
        <v>141258</v>
      </c>
      <c r="G7" s="259">
        <f>INT(G8/100*F7)</f>
        <v>152749</v>
      </c>
      <c r="H7" s="259">
        <f>INT(H8/100*G7)</f>
        <v>166825</v>
      </c>
    </row>
    <row r="8" spans="1:8" ht="36" customHeight="1">
      <c r="A8" s="260"/>
      <c r="B8" s="303" t="s">
        <v>47</v>
      </c>
      <c r="C8" s="310">
        <v>95.137</v>
      </c>
      <c r="D8" s="310">
        <v>110.43356</v>
      </c>
      <c r="E8" s="310">
        <v>103.3876</v>
      </c>
      <c r="F8" s="310">
        <v>107.56834</v>
      </c>
      <c r="G8" s="310">
        <f>108.13514</f>
        <v>108.13514</v>
      </c>
      <c r="H8" s="310">
        <v>109.21561</v>
      </c>
    </row>
    <row r="9" spans="1:8" ht="24" customHeight="1">
      <c r="A9" s="255" t="s">
        <v>944</v>
      </c>
      <c r="B9" s="266"/>
      <c r="C9" s="259"/>
      <c r="D9" s="259"/>
      <c r="E9" s="259"/>
      <c r="F9" s="259"/>
      <c r="G9" s="259"/>
      <c r="H9" s="259"/>
    </row>
    <row r="10" spans="1:8" ht="24" customHeight="1">
      <c r="A10" s="255" t="s">
        <v>943</v>
      </c>
      <c r="B10" s="300" t="s">
        <v>217</v>
      </c>
      <c r="C10" s="311" t="s">
        <v>857</v>
      </c>
      <c r="D10" s="311" t="s">
        <v>857</v>
      </c>
      <c r="E10" s="311" t="s">
        <v>857</v>
      </c>
      <c r="F10" s="311" t="s">
        <v>857</v>
      </c>
      <c r="G10" s="311" t="s">
        <v>857</v>
      </c>
      <c r="H10" s="311" t="s">
        <v>857</v>
      </c>
    </row>
    <row r="11" spans="1:8" ht="28.5" customHeight="1">
      <c r="A11" s="255"/>
      <c r="B11" s="303" t="s">
        <v>47</v>
      </c>
      <c r="C11" s="311"/>
      <c r="D11" s="311"/>
      <c r="E11" s="311"/>
      <c r="F11" s="311"/>
      <c r="G11" s="311"/>
      <c r="H11" s="311"/>
    </row>
    <row r="12" spans="1:8" ht="24" customHeight="1">
      <c r="A12" s="255" t="s">
        <v>945</v>
      </c>
      <c r="B12" s="300" t="s">
        <v>946</v>
      </c>
      <c r="C12" s="311" t="s">
        <v>857</v>
      </c>
      <c r="D12" s="311" t="s">
        <v>857</v>
      </c>
      <c r="E12" s="311" t="s">
        <v>857</v>
      </c>
      <c r="F12" s="311" t="s">
        <v>857</v>
      </c>
      <c r="G12" s="311" t="s">
        <v>857</v>
      </c>
      <c r="H12" s="311" t="s">
        <v>857</v>
      </c>
    </row>
    <row r="13" spans="1:8" ht="24" customHeight="1">
      <c r="A13" s="255"/>
      <c r="B13" s="303" t="s">
        <v>47</v>
      </c>
      <c r="C13" s="311"/>
      <c r="D13" s="311"/>
      <c r="E13" s="311"/>
      <c r="F13" s="311"/>
      <c r="G13" s="311"/>
      <c r="H13" s="311"/>
    </row>
    <row r="14" spans="1:8" ht="24" customHeight="1">
      <c r="A14" s="276" t="s">
        <v>947</v>
      </c>
      <c r="B14" s="266" t="s">
        <v>399</v>
      </c>
      <c r="C14" s="311" t="s">
        <v>857</v>
      </c>
      <c r="D14" s="311" t="s">
        <v>857</v>
      </c>
      <c r="E14" s="311" t="s">
        <v>857</v>
      </c>
      <c r="F14" s="311" t="s">
        <v>857</v>
      </c>
      <c r="G14" s="311" t="s">
        <v>857</v>
      </c>
      <c r="H14" s="311" t="s">
        <v>857</v>
      </c>
    </row>
    <row r="15" spans="1:8" ht="24" customHeight="1">
      <c r="A15" s="276"/>
      <c r="B15" s="303" t="s">
        <v>47</v>
      </c>
      <c r="C15" s="259"/>
      <c r="D15" s="259"/>
      <c r="E15" s="259"/>
      <c r="F15" s="259"/>
      <c r="G15" s="259"/>
      <c r="H15" s="259"/>
    </row>
    <row r="16" spans="3:8" ht="18.75">
      <c r="C16" s="261"/>
      <c r="D16" s="261"/>
      <c r="E16" s="261"/>
      <c r="F16" s="261"/>
      <c r="G16" s="261"/>
      <c r="H16" s="261"/>
    </row>
    <row r="17" spans="3:8" ht="18.75">
      <c r="C17" s="261"/>
      <c r="D17" s="261"/>
      <c r="E17" s="261"/>
      <c r="F17" s="261"/>
      <c r="G17" s="261"/>
      <c r="H17" s="261"/>
    </row>
    <row r="18" spans="3:8" ht="18.75">
      <c r="C18" s="261"/>
      <c r="D18" s="261"/>
      <c r="E18" s="261"/>
      <c r="F18" s="261"/>
      <c r="G18" s="261"/>
      <c r="H18" s="261"/>
    </row>
    <row r="19" spans="3:8" ht="18.75">
      <c r="C19" s="261"/>
      <c r="D19" s="261"/>
      <c r="E19" s="261"/>
      <c r="F19" s="261"/>
      <c r="G19" s="261"/>
      <c r="H19" s="261"/>
    </row>
    <row r="20" spans="3:8" ht="18.75">
      <c r="C20" s="261"/>
      <c r="D20" s="261"/>
      <c r="E20" s="261"/>
      <c r="F20" s="261"/>
      <c r="G20" s="261"/>
      <c r="H20" s="261"/>
    </row>
    <row r="21" spans="3:8" ht="18.75">
      <c r="C21" s="261"/>
      <c r="D21" s="261"/>
      <c r="E21" s="261"/>
      <c r="F21" s="261"/>
      <c r="G21" s="261"/>
      <c r="H21" s="261"/>
    </row>
    <row r="22" spans="3:8" ht="18.75">
      <c r="C22" s="261"/>
      <c r="D22" s="261"/>
      <c r="E22" s="261"/>
      <c r="F22" s="261"/>
      <c r="G22" s="261"/>
      <c r="H22" s="261"/>
    </row>
    <row r="23" spans="3:8" ht="18.75">
      <c r="C23" s="261"/>
      <c r="D23" s="261"/>
      <c r="E23" s="261"/>
      <c r="F23" s="261"/>
      <c r="G23" s="261"/>
      <c r="H23" s="261"/>
    </row>
    <row r="24" spans="3:8" ht="18.75">
      <c r="C24" s="261"/>
      <c r="D24" s="261"/>
      <c r="E24" s="261"/>
      <c r="F24" s="261"/>
      <c r="G24" s="261"/>
      <c r="H24" s="261"/>
    </row>
    <row r="25" spans="3:8" ht="18.75">
      <c r="C25" s="261"/>
      <c r="D25" s="261"/>
      <c r="E25" s="261"/>
      <c r="F25" s="261"/>
      <c r="G25" s="261"/>
      <c r="H25" s="261"/>
    </row>
    <row r="26" spans="3:8" ht="18.75">
      <c r="C26" s="261"/>
      <c r="D26" s="261"/>
      <c r="E26" s="261"/>
      <c r="F26" s="261"/>
      <c r="G26" s="261"/>
      <c r="H26" s="261"/>
    </row>
    <row r="27" spans="3:8" ht="18.75">
      <c r="C27" s="261"/>
      <c r="D27" s="261"/>
      <c r="E27" s="261"/>
      <c r="F27" s="261"/>
      <c r="G27" s="261"/>
      <c r="H27" s="261"/>
    </row>
    <row r="28" spans="3:8" ht="18.75">
      <c r="C28" s="261"/>
      <c r="D28" s="261"/>
      <c r="E28" s="261"/>
      <c r="F28" s="261"/>
      <c r="G28" s="261"/>
      <c r="H28" s="261"/>
    </row>
    <row r="29" spans="3:8" ht="18.75">
      <c r="C29" s="261"/>
      <c r="D29" s="261"/>
      <c r="E29" s="261"/>
      <c r="F29" s="261"/>
      <c r="G29" s="261"/>
      <c r="H29" s="261"/>
    </row>
    <row r="30" spans="3:8" ht="18.75">
      <c r="C30" s="261"/>
      <c r="D30" s="261"/>
      <c r="E30" s="261"/>
      <c r="F30" s="261"/>
      <c r="G30" s="261"/>
      <c r="H30" s="261"/>
    </row>
    <row r="31" spans="3:8" ht="18.75">
      <c r="C31" s="261"/>
      <c r="D31" s="261"/>
      <c r="E31" s="261"/>
      <c r="F31" s="261"/>
      <c r="G31" s="261"/>
      <c r="H31" s="261"/>
    </row>
    <row r="32" spans="3:8" ht="18.75">
      <c r="C32" s="261"/>
      <c r="D32" s="261"/>
      <c r="E32" s="261"/>
      <c r="F32" s="261"/>
      <c r="G32" s="261"/>
      <c r="H32" s="261"/>
    </row>
    <row r="33" spans="3:8" ht="18.75">
      <c r="C33" s="261"/>
      <c r="D33" s="261"/>
      <c r="E33" s="261"/>
      <c r="F33" s="261"/>
      <c r="G33" s="261"/>
      <c r="H33" s="261"/>
    </row>
    <row r="34" spans="3:8" ht="18.75">
      <c r="C34" s="261"/>
      <c r="D34" s="261"/>
      <c r="E34" s="261"/>
      <c r="F34" s="261"/>
      <c r="G34" s="261"/>
      <c r="H34" s="261"/>
    </row>
    <row r="35" spans="3:8" ht="18.75">
      <c r="C35" s="261"/>
      <c r="D35" s="261"/>
      <c r="E35" s="261"/>
      <c r="F35" s="261"/>
      <c r="G35" s="261"/>
      <c r="H35" s="261"/>
    </row>
    <row r="36" spans="3:8" ht="18.75">
      <c r="C36" s="261"/>
      <c r="D36" s="261"/>
      <c r="E36" s="261"/>
      <c r="F36" s="261"/>
      <c r="G36" s="261"/>
      <c r="H36" s="261"/>
    </row>
    <row r="37" spans="3:8" ht="18.75">
      <c r="C37" s="261"/>
      <c r="D37" s="261"/>
      <c r="E37" s="261"/>
      <c r="F37" s="261"/>
      <c r="G37" s="261"/>
      <c r="H37" s="261"/>
    </row>
    <row r="38" spans="3:8" ht="18.75">
      <c r="C38" s="261"/>
      <c r="D38" s="261"/>
      <c r="E38" s="261"/>
      <c r="F38" s="261"/>
      <c r="G38" s="261"/>
      <c r="H38" s="261"/>
    </row>
    <row r="39" spans="3:8" ht="18.75">
      <c r="C39" s="261"/>
      <c r="D39" s="261"/>
      <c r="E39" s="261"/>
      <c r="F39" s="261"/>
      <c r="G39" s="261"/>
      <c r="H39" s="261"/>
    </row>
    <row r="40" spans="3:8" ht="18.75">
      <c r="C40" s="261"/>
      <c r="D40" s="261"/>
      <c r="E40" s="261"/>
      <c r="F40" s="261"/>
      <c r="G40" s="261"/>
      <c r="H40" s="261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3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2.25" thickTop="1">
      <c r="A5" s="334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.75">
      <c r="A6" s="335"/>
      <c r="B6" s="67" t="s">
        <v>658</v>
      </c>
      <c r="C6" s="70" t="s">
        <v>659</v>
      </c>
      <c r="D6" s="85"/>
      <c r="E6" s="85"/>
      <c r="F6" s="86"/>
      <c r="G6" s="87"/>
    </row>
    <row r="7" spans="1:7" ht="31.5">
      <c r="A7" s="335"/>
      <c r="B7" s="67" t="s">
        <v>475</v>
      </c>
      <c r="C7" s="68" t="s">
        <v>660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5" t="s">
        <v>661</v>
      </c>
      <c r="B9" s="67" t="s">
        <v>662</v>
      </c>
      <c r="C9" s="68"/>
      <c r="D9" s="68"/>
      <c r="E9" s="68"/>
      <c r="F9" s="68"/>
      <c r="G9" s="90"/>
    </row>
    <row r="10" spans="1:7" ht="15.75">
      <c r="A10" s="335"/>
      <c r="B10" s="67" t="s">
        <v>663</v>
      </c>
      <c r="C10" s="68" t="s">
        <v>888</v>
      </c>
      <c r="D10" s="85"/>
      <c r="E10" s="85"/>
      <c r="F10" s="68"/>
      <c r="G10" s="91"/>
    </row>
    <row r="11" spans="1:7" ht="15.75">
      <c r="A11" s="335"/>
      <c r="B11" s="67" t="s">
        <v>664</v>
      </c>
      <c r="C11" s="70" t="s">
        <v>659</v>
      </c>
      <c r="D11" s="85"/>
      <c r="E11" s="85"/>
      <c r="F11" s="68"/>
      <c r="G11" s="90"/>
    </row>
    <row r="12" spans="1:7" ht="31.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.7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.7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5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.75">
      <c r="A19" s="335"/>
      <c r="B19" s="73" t="s">
        <v>531</v>
      </c>
      <c r="C19" s="70"/>
      <c r="D19" s="85"/>
      <c r="E19" s="85"/>
      <c r="F19" s="68"/>
      <c r="G19" s="90"/>
    </row>
    <row r="20" spans="1:7" ht="15.75">
      <c r="A20" s="335"/>
      <c r="B20" s="73" t="s">
        <v>556</v>
      </c>
      <c r="C20" s="70" t="s">
        <v>887</v>
      </c>
      <c r="D20" s="85"/>
      <c r="E20" s="85"/>
      <c r="F20" s="68"/>
      <c r="G20" s="90"/>
    </row>
    <row r="21" spans="1:7" ht="15.75">
      <c r="A21" s="335"/>
      <c r="B21" s="73" t="s">
        <v>850</v>
      </c>
      <c r="C21" s="70" t="s">
        <v>887</v>
      </c>
      <c r="D21" s="85"/>
      <c r="E21" s="85"/>
      <c r="F21" s="68"/>
      <c r="G21" s="90"/>
    </row>
    <row r="22" spans="1:7" ht="15.75">
      <c r="A22" s="335"/>
      <c r="B22" s="73" t="s">
        <v>851</v>
      </c>
      <c r="C22" s="70" t="s">
        <v>887</v>
      </c>
      <c r="D22" s="85"/>
      <c r="E22" s="85"/>
      <c r="F22" s="68"/>
      <c r="G22" s="90"/>
    </row>
    <row r="23" spans="1:7" ht="15.75">
      <c r="A23" s="335"/>
      <c r="B23" s="73" t="s">
        <v>852</v>
      </c>
      <c r="C23" s="70" t="s">
        <v>887</v>
      </c>
      <c r="D23" s="85"/>
      <c r="E23" s="85"/>
      <c r="F23" s="68"/>
      <c r="G23" s="90"/>
    </row>
    <row r="24" spans="1:7" ht="15.75">
      <c r="A24" s="335"/>
      <c r="B24" s="73" t="s">
        <v>557</v>
      </c>
      <c r="C24" s="70" t="s">
        <v>887</v>
      </c>
      <c r="D24" s="85"/>
      <c r="E24" s="85"/>
      <c r="F24" s="68"/>
      <c r="G24" s="90"/>
    </row>
    <row r="25" spans="1:7" ht="31.5">
      <c r="A25" s="335"/>
      <c r="B25" s="67" t="s">
        <v>673</v>
      </c>
      <c r="C25" s="68" t="s">
        <v>660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5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.75">
      <c r="A28" s="335"/>
      <c r="B28" s="73" t="s">
        <v>531</v>
      </c>
      <c r="C28" s="68"/>
      <c r="D28" s="85"/>
      <c r="E28" s="85"/>
      <c r="F28" s="68"/>
      <c r="G28" s="90"/>
    </row>
    <row r="29" spans="1:7" ht="15.75">
      <c r="A29" s="335"/>
      <c r="B29" s="73" t="s">
        <v>556</v>
      </c>
      <c r="C29" s="68" t="s">
        <v>676</v>
      </c>
      <c r="D29" s="85"/>
      <c r="E29" s="85"/>
      <c r="F29" s="68"/>
      <c r="G29" s="90"/>
    </row>
    <row r="30" spans="1:7" ht="15.75">
      <c r="A30" s="335"/>
      <c r="B30" s="73" t="s">
        <v>850</v>
      </c>
      <c r="C30" s="68" t="s">
        <v>676</v>
      </c>
      <c r="D30" s="85"/>
      <c r="E30" s="85"/>
      <c r="F30" s="68"/>
      <c r="G30" s="90"/>
    </row>
    <row r="31" spans="1:7" ht="15.75">
      <c r="A31" s="335"/>
      <c r="B31" s="73" t="s">
        <v>851</v>
      </c>
      <c r="C31" s="68" t="s">
        <v>676</v>
      </c>
      <c r="D31" s="85"/>
      <c r="E31" s="85"/>
      <c r="F31" s="68"/>
      <c r="G31" s="90"/>
    </row>
    <row r="32" spans="1:7" ht="15.75">
      <c r="A32" s="335"/>
      <c r="B32" s="73" t="s">
        <v>852</v>
      </c>
      <c r="C32" s="68" t="s">
        <v>676</v>
      </c>
      <c r="D32" s="85"/>
      <c r="E32" s="85"/>
      <c r="F32" s="68"/>
      <c r="G32" s="90"/>
    </row>
    <row r="33" spans="1:7" ht="15.75">
      <c r="A33" s="335"/>
      <c r="B33" s="73" t="s">
        <v>557</v>
      </c>
      <c r="C33" s="68" t="s">
        <v>676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5" t="s">
        <v>886</v>
      </c>
      <c r="B35" s="333" t="s">
        <v>677</v>
      </c>
      <c r="C35" s="68" t="s">
        <v>888</v>
      </c>
      <c r="D35" s="85"/>
      <c r="E35" s="85"/>
      <c r="F35" s="68"/>
      <c r="G35" s="90"/>
    </row>
    <row r="36" spans="1:7" ht="15.75">
      <c r="A36" s="335"/>
      <c r="B36" s="338"/>
      <c r="C36" s="70" t="s">
        <v>659</v>
      </c>
      <c r="D36" s="85"/>
      <c r="E36" s="85"/>
      <c r="F36" s="68"/>
      <c r="G36" s="90"/>
    </row>
    <row r="37" spans="1:7" ht="15.75">
      <c r="A37" s="335"/>
      <c r="B37" s="67" t="s">
        <v>678</v>
      </c>
      <c r="C37" s="68"/>
      <c r="D37" s="85"/>
      <c r="E37" s="85"/>
      <c r="F37" s="68"/>
      <c r="G37" s="90"/>
    </row>
    <row r="38" spans="1:7" ht="15.75">
      <c r="A38" s="335"/>
      <c r="B38" s="333" t="s">
        <v>679</v>
      </c>
      <c r="C38" s="68" t="s">
        <v>888</v>
      </c>
      <c r="D38" s="85"/>
      <c r="E38" s="85"/>
      <c r="F38" s="68"/>
      <c r="G38" s="90"/>
    </row>
    <row r="39" spans="1:7" ht="15.75">
      <c r="A39" s="335"/>
      <c r="B39" s="333"/>
      <c r="C39" s="70" t="s">
        <v>659</v>
      </c>
      <c r="D39" s="85"/>
      <c r="E39" s="85"/>
      <c r="F39" s="68"/>
      <c r="G39" s="90"/>
    </row>
    <row r="40" spans="1:7" ht="15.75">
      <c r="A40" s="335"/>
      <c r="B40" s="333" t="s">
        <v>680</v>
      </c>
      <c r="C40" s="68" t="s">
        <v>888</v>
      </c>
      <c r="D40" s="85"/>
      <c r="E40" s="85"/>
      <c r="F40" s="68"/>
      <c r="G40" s="90"/>
    </row>
    <row r="41" spans="1:7" ht="15.75">
      <c r="A41" s="335"/>
      <c r="B41" s="333"/>
      <c r="C41" s="70" t="s">
        <v>659</v>
      </c>
      <c r="D41" s="85"/>
      <c r="E41" s="85"/>
      <c r="F41" s="68"/>
      <c r="G41" s="90"/>
    </row>
    <row r="42" spans="1:7" ht="15.75">
      <c r="A42" s="335"/>
      <c r="B42" s="333" t="s">
        <v>681</v>
      </c>
      <c r="C42" s="68" t="s">
        <v>888</v>
      </c>
      <c r="D42" s="85"/>
      <c r="E42" s="85"/>
      <c r="F42" s="68"/>
      <c r="G42" s="90"/>
    </row>
    <row r="43" spans="1:7" ht="15.75">
      <c r="A43" s="335"/>
      <c r="B43" s="333"/>
      <c r="C43" s="70" t="s">
        <v>659</v>
      </c>
      <c r="D43" s="85"/>
      <c r="E43" s="85"/>
      <c r="F43" s="68"/>
      <c r="G43" s="90"/>
    </row>
    <row r="44" spans="1:7" ht="15.75">
      <c r="A44" s="335"/>
      <c r="B44" s="333" t="s">
        <v>682</v>
      </c>
      <c r="C44" s="68" t="s">
        <v>888</v>
      </c>
      <c r="D44" s="85"/>
      <c r="E44" s="85"/>
      <c r="F44" s="68"/>
      <c r="G44" s="90"/>
    </row>
    <row r="45" spans="1:7" ht="15.75">
      <c r="A45" s="335"/>
      <c r="B45" s="333"/>
      <c r="C45" s="70" t="s">
        <v>659</v>
      </c>
      <c r="D45" s="85"/>
      <c r="E45" s="85"/>
      <c r="F45" s="68"/>
      <c r="G45" s="90"/>
    </row>
    <row r="46" spans="1:7" ht="15.75">
      <c r="A46" s="335"/>
      <c r="B46" s="333" t="s">
        <v>683</v>
      </c>
      <c r="C46" s="68" t="s">
        <v>888</v>
      </c>
      <c r="D46" s="85"/>
      <c r="E46" s="85"/>
      <c r="F46" s="68"/>
      <c r="G46" s="90"/>
    </row>
    <row r="47" spans="1:7" ht="15.75">
      <c r="A47" s="335"/>
      <c r="B47" s="333"/>
      <c r="C47" s="70" t="s">
        <v>659</v>
      </c>
      <c r="D47" s="85"/>
      <c r="E47" s="85"/>
      <c r="F47" s="68"/>
      <c r="G47" s="90"/>
    </row>
    <row r="48" spans="1:7" ht="15.75">
      <c r="A48" s="335"/>
      <c r="B48" s="333" t="s">
        <v>684</v>
      </c>
      <c r="C48" s="68" t="s">
        <v>888</v>
      </c>
      <c r="D48" s="85"/>
      <c r="E48" s="85"/>
      <c r="F48" s="68"/>
      <c r="G48" s="90"/>
    </row>
    <row r="49" spans="1:7" ht="15.75">
      <c r="A49" s="335"/>
      <c r="B49" s="333"/>
      <c r="C49" s="70" t="s">
        <v>659</v>
      </c>
      <c r="D49" s="85"/>
      <c r="E49" s="85"/>
      <c r="F49" s="68"/>
      <c r="G49" s="90"/>
    </row>
    <row r="50" spans="1:7" ht="15.75">
      <c r="A50" s="335"/>
      <c r="B50" s="333" t="s">
        <v>685</v>
      </c>
      <c r="C50" s="68" t="s">
        <v>888</v>
      </c>
      <c r="D50" s="85"/>
      <c r="E50" s="85"/>
      <c r="F50" s="68"/>
      <c r="G50" s="90"/>
    </row>
    <row r="51" spans="1:7" ht="15.75">
      <c r="A51" s="335"/>
      <c r="B51" s="333"/>
      <c r="C51" s="70" t="s">
        <v>659</v>
      </c>
      <c r="D51" s="85"/>
      <c r="E51" s="85"/>
      <c r="F51" s="68"/>
      <c r="G51" s="90"/>
    </row>
    <row r="52" spans="1:7" ht="15.75">
      <c r="A52" s="335"/>
      <c r="B52" s="333" t="s">
        <v>686</v>
      </c>
      <c r="C52" s="68" t="s">
        <v>888</v>
      </c>
      <c r="D52" s="85"/>
      <c r="E52" s="85"/>
      <c r="F52" s="68"/>
      <c r="G52" s="90"/>
    </row>
    <row r="53" spans="1:7" ht="15.75">
      <c r="A53" s="335"/>
      <c r="B53" s="333"/>
      <c r="C53" s="70" t="s">
        <v>659</v>
      </c>
      <c r="D53" s="85"/>
      <c r="E53" s="85"/>
      <c r="F53" s="68"/>
      <c r="G53" s="90"/>
    </row>
    <row r="54" spans="1:7" ht="15.75">
      <c r="A54" s="335"/>
      <c r="B54" s="333" t="s">
        <v>687</v>
      </c>
      <c r="C54" s="68" t="s">
        <v>888</v>
      </c>
      <c r="D54" s="85"/>
      <c r="E54" s="85"/>
      <c r="F54" s="85"/>
      <c r="G54" s="85"/>
    </row>
    <row r="55" spans="1:7" ht="15.75">
      <c r="A55" s="335"/>
      <c r="B55" s="333"/>
      <c r="C55" s="70" t="s">
        <v>659</v>
      </c>
      <c r="D55" s="85"/>
      <c r="E55" s="85"/>
      <c r="F55" s="85"/>
      <c r="G55" s="85"/>
    </row>
    <row r="56" spans="1:7" ht="15.75">
      <c r="A56" s="335"/>
      <c r="B56" s="333" t="s">
        <v>688</v>
      </c>
      <c r="C56" s="68" t="s">
        <v>689</v>
      </c>
      <c r="D56" s="85"/>
      <c r="E56" s="85"/>
      <c r="F56" s="68"/>
      <c r="G56" s="92"/>
    </row>
    <row r="57" spans="1:7" ht="15.75">
      <c r="A57" s="335"/>
      <c r="B57" s="333"/>
      <c r="C57" s="70" t="s">
        <v>690</v>
      </c>
      <c r="D57" s="85"/>
      <c r="E57" s="85"/>
      <c r="F57" s="68"/>
      <c r="G57" s="90"/>
    </row>
    <row r="58" spans="1:7" ht="15.75">
      <c r="A58" s="335"/>
      <c r="B58" s="333" t="s">
        <v>691</v>
      </c>
      <c r="C58" s="68" t="s">
        <v>689</v>
      </c>
      <c r="D58" s="85"/>
      <c r="E58" s="85"/>
      <c r="F58" s="68"/>
      <c r="G58" s="90"/>
    </row>
    <row r="59" spans="1:7" ht="15.75">
      <c r="A59" s="335"/>
      <c r="B59" s="333"/>
      <c r="C59" s="70" t="s">
        <v>690</v>
      </c>
      <c r="D59" s="85"/>
      <c r="E59" s="85"/>
      <c r="F59" s="68"/>
      <c r="G59" s="90"/>
    </row>
    <row r="60" spans="1:7" ht="15.75">
      <c r="A60" s="335"/>
      <c r="B60" s="333" t="s">
        <v>692</v>
      </c>
      <c r="C60" s="68" t="s">
        <v>689</v>
      </c>
      <c r="D60" s="85"/>
      <c r="E60" s="85"/>
      <c r="F60" s="68"/>
      <c r="G60" s="90"/>
    </row>
    <row r="61" spans="1:7" ht="15.75">
      <c r="A61" s="335"/>
      <c r="B61" s="333"/>
      <c r="C61" s="70" t="s">
        <v>690</v>
      </c>
      <c r="D61" s="85"/>
      <c r="E61" s="85"/>
      <c r="F61" s="68"/>
      <c r="G61" s="90"/>
    </row>
    <row r="62" spans="1:7" ht="15.75">
      <c r="A62" s="335"/>
      <c r="B62" s="333" t="s">
        <v>693</v>
      </c>
      <c r="C62" s="68" t="s">
        <v>689</v>
      </c>
      <c r="D62" s="85"/>
      <c r="E62" s="85"/>
      <c r="F62" s="68"/>
      <c r="G62" s="90"/>
    </row>
    <row r="63" spans="1:7" ht="15.75">
      <c r="A63" s="335"/>
      <c r="B63" s="333"/>
      <c r="C63" s="70" t="s">
        <v>690</v>
      </c>
      <c r="D63" s="85"/>
      <c r="E63" s="85"/>
      <c r="F63" s="68"/>
      <c r="G63" s="90"/>
    </row>
    <row r="64" spans="1:7" ht="15.75">
      <c r="A64" s="335"/>
      <c r="B64" s="67" t="s">
        <v>694</v>
      </c>
      <c r="C64" s="68" t="s">
        <v>660</v>
      </c>
      <c r="D64" s="85"/>
      <c r="E64" s="85"/>
      <c r="F64" s="86"/>
      <c r="G64" s="87"/>
    </row>
    <row r="65" spans="1:7" ht="15.75">
      <c r="A65" s="335"/>
      <c r="B65" s="67" t="s">
        <v>559</v>
      </c>
      <c r="C65" s="68"/>
      <c r="D65" s="93"/>
      <c r="E65" s="93"/>
      <c r="F65" s="94"/>
      <c r="G65" s="95"/>
    </row>
    <row r="66" spans="1:7" ht="15.75">
      <c r="A66" s="335"/>
      <c r="B66" s="67" t="s">
        <v>695</v>
      </c>
      <c r="C66" s="68" t="s">
        <v>660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6" t="s">
        <v>696</v>
      </c>
      <c r="C68" s="337"/>
      <c r="D68" s="337"/>
      <c r="E68" s="33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9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.75">
      <c r="A71" s="339"/>
      <c r="B71" s="74" t="s">
        <v>531</v>
      </c>
      <c r="C71" s="75"/>
      <c r="D71" s="68"/>
      <c r="E71" s="68"/>
      <c r="F71" s="68"/>
      <c r="G71" s="90"/>
    </row>
    <row r="72" spans="1:7" ht="15.75">
      <c r="A72" s="339"/>
      <c r="B72" s="74" t="s">
        <v>506</v>
      </c>
      <c r="C72" s="75" t="s">
        <v>561</v>
      </c>
      <c r="D72" s="68"/>
      <c r="E72" s="68"/>
      <c r="F72" s="68"/>
      <c r="G72" s="90"/>
    </row>
    <row r="73" spans="1:7" ht="94.5">
      <c r="A73" s="339"/>
      <c r="B73" s="74" t="s">
        <v>507</v>
      </c>
      <c r="C73" s="75" t="s">
        <v>561</v>
      </c>
      <c r="D73" s="68"/>
      <c r="E73" s="68"/>
      <c r="F73" s="68"/>
      <c r="G73" s="90"/>
    </row>
    <row r="74" spans="1:7" ht="15.75">
      <c r="A74" s="339"/>
      <c r="B74" s="74" t="s">
        <v>508</v>
      </c>
      <c r="C74" s="75" t="s">
        <v>660</v>
      </c>
      <c r="D74" s="68"/>
      <c r="E74" s="68"/>
      <c r="F74" s="68"/>
      <c r="G74" s="90"/>
    </row>
    <row r="75" spans="1:7" ht="15.75">
      <c r="A75" s="339"/>
      <c r="B75" s="74" t="s">
        <v>531</v>
      </c>
      <c r="C75" s="75"/>
      <c r="D75" s="68"/>
      <c r="E75" s="68"/>
      <c r="F75" s="68"/>
      <c r="G75" s="90"/>
    </row>
    <row r="76" spans="1:7" ht="15.75">
      <c r="A76" s="339"/>
      <c r="B76" s="74" t="s">
        <v>506</v>
      </c>
      <c r="C76" s="75" t="s">
        <v>558</v>
      </c>
      <c r="D76" s="68"/>
      <c r="E76" s="68"/>
      <c r="F76" s="68"/>
      <c r="G76" s="90"/>
    </row>
    <row r="77" spans="1:7" ht="15.75">
      <c r="A77" s="339"/>
      <c r="B77" s="74" t="s">
        <v>509</v>
      </c>
      <c r="C77" s="75" t="s">
        <v>558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9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.75">
      <c r="A80" s="339"/>
      <c r="B80" s="74"/>
      <c r="C80" s="77" t="s">
        <v>659</v>
      </c>
      <c r="D80" s="68"/>
      <c r="E80" s="68"/>
      <c r="F80" s="68"/>
      <c r="G80" s="90"/>
    </row>
    <row r="81" spans="1:7" ht="15.75">
      <c r="A81" s="339"/>
      <c r="B81" s="74" t="s">
        <v>531</v>
      </c>
      <c r="C81" s="75"/>
      <c r="D81" s="68"/>
      <c r="E81" s="68"/>
      <c r="F81" s="68"/>
      <c r="G81" s="90"/>
    </row>
    <row r="82" spans="1:7" ht="15.75">
      <c r="A82" s="339"/>
      <c r="B82" s="74" t="s">
        <v>506</v>
      </c>
      <c r="C82" s="75" t="s">
        <v>561</v>
      </c>
      <c r="D82" s="68"/>
      <c r="E82" s="68"/>
      <c r="F82" s="68"/>
      <c r="G82" s="90"/>
    </row>
    <row r="83" spans="1:7" ht="15.75">
      <c r="A83" s="339"/>
      <c r="B83" s="74"/>
      <c r="C83" s="77" t="s">
        <v>690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9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.75">
      <c r="A86" s="339"/>
      <c r="B86" s="74" t="s">
        <v>467</v>
      </c>
      <c r="C86" s="75"/>
      <c r="D86" s="68"/>
      <c r="E86" s="68"/>
      <c r="F86" s="68"/>
      <c r="G86" s="90"/>
    </row>
    <row r="87" spans="1:7" ht="15.75">
      <c r="A87" s="339"/>
      <c r="B87" s="74" t="s">
        <v>514</v>
      </c>
      <c r="C87" s="75" t="s">
        <v>676</v>
      </c>
      <c r="D87" s="68"/>
      <c r="E87" s="68"/>
      <c r="F87" s="68"/>
      <c r="G87" s="90"/>
    </row>
    <row r="88" spans="1:7" ht="31.5">
      <c r="A88" s="339"/>
      <c r="B88" s="74" t="s">
        <v>515</v>
      </c>
      <c r="C88" s="75" t="s">
        <v>676</v>
      </c>
      <c r="D88" s="68"/>
      <c r="E88" s="68"/>
      <c r="F88" s="68"/>
      <c r="G88" s="90"/>
    </row>
    <row r="89" spans="1:7" ht="15.75">
      <c r="A89" s="339"/>
      <c r="B89" s="74" t="s">
        <v>467</v>
      </c>
      <c r="C89" s="75"/>
      <c r="D89" s="68"/>
      <c r="E89" s="68"/>
      <c r="F89" s="68"/>
      <c r="G89" s="90"/>
    </row>
    <row r="90" spans="1:7" ht="15.75">
      <c r="A90" s="339"/>
      <c r="B90" s="74" t="s">
        <v>516</v>
      </c>
      <c r="C90" s="75" t="s">
        <v>676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9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.75">
      <c r="A93" s="339"/>
      <c r="B93" s="74" t="s">
        <v>467</v>
      </c>
      <c r="C93" s="75"/>
      <c r="D93" s="96"/>
      <c r="E93" s="96"/>
      <c r="F93" s="96"/>
      <c r="G93" s="97"/>
    </row>
    <row r="94" spans="1:7" ht="15.75">
      <c r="A94" s="339"/>
      <c r="B94" s="74" t="s">
        <v>519</v>
      </c>
      <c r="C94" s="75" t="s">
        <v>676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9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.75">
      <c r="A97" s="339"/>
      <c r="B97" s="74" t="s">
        <v>531</v>
      </c>
      <c r="C97" s="75"/>
      <c r="D97" s="96"/>
      <c r="E97" s="96"/>
      <c r="F97" s="96"/>
      <c r="G97" s="97"/>
    </row>
    <row r="98" spans="1:7" ht="15.75">
      <c r="A98" s="339"/>
      <c r="B98" s="74" t="s">
        <v>522</v>
      </c>
      <c r="C98" s="75" t="s">
        <v>676</v>
      </c>
      <c r="D98" s="96"/>
      <c r="E98" s="96"/>
      <c r="F98" s="96"/>
      <c r="G98" s="97"/>
    </row>
    <row r="99" spans="1:7" ht="15.75">
      <c r="A99" s="339"/>
      <c r="B99" s="74" t="s">
        <v>467</v>
      </c>
      <c r="C99" s="75"/>
      <c r="D99" s="96"/>
      <c r="E99" s="96"/>
      <c r="F99" s="96"/>
      <c r="G99" s="97"/>
    </row>
    <row r="100" spans="1:7" ht="31.5">
      <c r="A100" s="339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2.25" thickBot="1">
      <c r="A101" s="340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526</v>
      </c>
      <c r="C103" s="80"/>
      <c r="D103" s="42"/>
      <c r="E103" s="42"/>
      <c r="F103" s="42"/>
      <c r="G103" s="42"/>
    </row>
    <row r="104" spans="1:7" ht="15.75">
      <c r="A104" s="42"/>
      <c r="B104" s="82" t="s">
        <v>527</v>
      </c>
      <c r="C104" s="83"/>
      <c r="D104" s="42"/>
      <c r="E104" s="42"/>
      <c r="F104" s="42"/>
      <c r="G104" s="42"/>
    </row>
    <row r="105" spans="1:7" ht="15.7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1" t="s">
        <v>541</v>
      </c>
      <c r="B9" s="341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43"/>
      <c r="B10" s="343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1">
        <v>2004</v>
      </c>
      <c r="M10" s="341">
        <v>2005</v>
      </c>
      <c r="N10" s="341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2"/>
      <c r="B11" s="342"/>
      <c r="C11" s="121"/>
      <c r="D11" s="122"/>
      <c r="E11" s="123"/>
      <c r="F11" s="121"/>
      <c r="G11" s="124"/>
      <c r="H11" s="121"/>
      <c r="I11" s="121"/>
      <c r="J11" s="126"/>
      <c r="K11" s="126"/>
      <c r="L11" s="342"/>
      <c r="M11" s="342"/>
      <c r="N11" s="342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203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204</v>
      </c>
      <c r="B141" s="133" t="s">
        <v>203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205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205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205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205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205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205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205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206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207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205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205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208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205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565</v>
      </c>
      <c r="B156" s="133" t="s">
        <v>205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209</v>
      </c>
      <c r="B157" s="133" t="s">
        <v>205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210</v>
      </c>
      <c r="B158" s="133" t="s">
        <v>205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735</v>
      </c>
      <c r="B159" s="133" t="s">
        <v>205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211</v>
      </c>
      <c r="B160" s="133" t="s">
        <v>212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213</v>
      </c>
      <c r="B161" s="133" t="s">
        <v>212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214</v>
      </c>
      <c r="B162" s="133" t="s">
        <v>212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212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212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212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212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215</v>
      </c>
      <c r="B167" s="133" t="s">
        <v>212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216</v>
      </c>
      <c r="B168" s="133" t="s">
        <v>212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732</v>
      </c>
      <c r="B169" s="133" t="s">
        <v>212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212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217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218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219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220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205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205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205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221</v>
      </c>
      <c r="B178" s="133" t="s">
        <v>205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205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500</v>
      </c>
      <c r="B180" s="133" t="s">
        <v>205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222</v>
      </c>
      <c r="B182" s="133" t="s">
        <v>218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223</v>
      </c>
      <c r="B183" s="133" t="s">
        <v>218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205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224</v>
      </c>
      <c r="B185" s="133" t="s">
        <v>225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226</v>
      </c>
      <c r="B186" s="133" t="s">
        <v>225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227</v>
      </c>
      <c r="B187" s="133" t="s">
        <v>225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228</v>
      </c>
      <c r="B188" s="133" t="s">
        <v>225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205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205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218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218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218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218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218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229</v>
      </c>
      <c r="B199" s="133" t="s">
        <v>218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230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232</v>
      </c>
      <c r="B203" s="133" t="s">
        <v>230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233</v>
      </c>
      <c r="B204" s="133" t="s">
        <v>230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234</v>
      </c>
      <c r="B205" s="133" t="s">
        <v>230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236</v>
      </c>
      <c r="B213" s="133" t="s">
        <v>237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238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239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240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241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242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243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244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245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246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247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249</v>
      </c>
      <c r="B254" s="133" t="s">
        <v>250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251</v>
      </c>
      <c r="B255" s="133" t="s">
        <v>250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252</v>
      </c>
      <c r="B256" s="133" t="s">
        <v>250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253</v>
      </c>
      <c r="B257" s="133" t="s">
        <v>250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249</v>
      </c>
      <c r="B259" s="133" t="s">
        <v>250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255</v>
      </c>
      <c r="B261" s="133" t="s">
        <v>250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256</v>
      </c>
      <c r="B262" s="133" t="s">
        <v>250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257</v>
      </c>
      <c r="B263" s="133" t="s">
        <v>250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258</v>
      </c>
      <c r="B264" s="133" t="s">
        <v>250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259</v>
      </c>
      <c r="B265" s="133" t="s">
        <v>250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260</v>
      </c>
      <c r="B266" s="133" t="s">
        <v>250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251</v>
      </c>
      <c r="B267" s="133" t="s">
        <v>250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252</v>
      </c>
      <c r="B268" s="133" t="s">
        <v>250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255</v>
      </c>
      <c r="B270" s="133" t="s">
        <v>250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257</v>
      </c>
      <c r="B271" s="133" t="s">
        <v>250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261</v>
      </c>
      <c r="B272" s="133" t="s">
        <v>250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259</v>
      </c>
      <c r="B273" s="133" t="s">
        <v>250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260</v>
      </c>
      <c r="B274" s="133" t="s">
        <v>250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253</v>
      </c>
      <c r="B275" s="133" t="s">
        <v>250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249</v>
      </c>
      <c r="B277" s="133" t="s">
        <v>250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251</v>
      </c>
      <c r="B278" s="133" t="s">
        <v>250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252</v>
      </c>
      <c r="B279" s="133" t="s">
        <v>250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253</v>
      </c>
      <c r="B280" s="133" t="s">
        <v>250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249</v>
      </c>
      <c r="B282" s="133" t="s">
        <v>250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255</v>
      </c>
      <c r="B284" s="133" t="s">
        <v>250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256</v>
      </c>
      <c r="B285" s="133" t="s">
        <v>250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257</v>
      </c>
      <c r="B286" s="133" t="s">
        <v>250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258</v>
      </c>
      <c r="B287" s="133" t="s">
        <v>250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259</v>
      </c>
      <c r="B288" s="133" t="s">
        <v>250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260</v>
      </c>
      <c r="B289" s="133" t="s">
        <v>250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251</v>
      </c>
      <c r="B290" s="133" t="s">
        <v>250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252</v>
      </c>
      <c r="B291" s="133" t="s">
        <v>250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255</v>
      </c>
      <c r="B293" s="133" t="s">
        <v>250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257</v>
      </c>
      <c r="B294" s="133" t="s">
        <v>250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261</v>
      </c>
      <c r="B295" s="133" t="s">
        <v>250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259</v>
      </c>
      <c r="B296" s="133" t="s">
        <v>250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260</v>
      </c>
      <c r="B297" s="133" t="s">
        <v>250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253</v>
      </c>
      <c r="B298" s="133" t="s">
        <v>250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263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265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266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267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268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269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270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265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266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267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268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269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271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272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273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274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275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276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277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278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279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281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282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265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266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267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268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269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Игорь Парамонов</cp:lastModifiedBy>
  <cp:lastPrinted>2022-06-22T06:32:02Z</cp:lastPrinted>
  <dcterms:created xsi:type="dcterms:W3CDTF">2002-02-04T13:12:50Z</dcterms:created>
  <dcterms:modified xsi:type="dcterms:W3CDTF">2023-02-15T07:44:43Z</dcterms:modified>
  <cp:category/>
  <cp:version/>
  <cp:contentType/>
  <cp:contentStatus/>
</cp:coreProperties>
</file>