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0" windowWidth="21840" windowHeight="9975" firstSheet="1" activeTab="1"/>
  </bookViews>
  <sheets>
    <sheet name="01.10.2022-2023 Главе КРАТКО" sheetId="1" state="hidden" r:id="rId1"/>
    <sheet name="01.10.2022-2023" sheetId="2" r:id="rId2"/>
    <sheet name="01.09.2022-2023 Главе КРАТКО" sheetId="3" state="hidden" r:id="rId3"/>
    <sheet name="01.09.2022-2023" sheetId="4" state="hidden" r:id="rId4"/>
    <sheet name="01.08.2022-2023 Главе КРАТКО" sheetId="5" state="hidden" r:id="rId5"/>
    <sheet name="01.08.2022-2023" sheetId="6" state="hidden" r:id="rId6"/>
    <sheet name="01.07.2023 (ГЛАВЕ, кратко)" sheetId="7" state="hidden" r:id="rId7"/>
    <sheet name="01.07.2022-2023" sheetId="8" state="hidden" r:id="rId8"/>
    <sheet name="01.06.2023 (ГЛАВЕ, кратко)" sheetId="9" state="hidden" r:id="rId9"/>
    <sheet name="01.06.2022-2023" sheetId="10" state="hidden" r:id="rId10"/>
    <sheet name="01.05.2022-2023" sheetId="11" state="hidden" r:id="rId11"/>
    <sheet name="01.05.2023 (ГЛАВЕ, кратко)" sheetId="12" state="hidden" r:id="rId12"/>
    <sheet name="01.05.2022-2023 (оперативные)" sheetId="13" state="hidden" r:id="rId13"/>
    <sheet name="01.04.2022-2023" sheetId="14" state="hidden" r:id="rId14"/>
    <sheet name="01.04.2022-2023(оперативные)" sheetId="15" state="hidden" r:id="rId15"/>
    <sheet name="01.03.2022-2023" sheetId="16" state="hidden" r:id="rId16"/>
    <sheet name="01.02.2022-2023" sheetId="17" state="hidden" r:id="rId17"/>
  </sheets>
  <definedNames>
    <definedName name="_xlnm.Print_Titles" localSheetId="16">'01.02.2022-2023'!$7:$10</definedName>
    <definedName name="_xlnm.Print_Titles" localSheetId="15">'01.03.2022-2023'!$7:$10</definedName>
    <definedName name="_xlnm.Print_Titles" localSheetId="13">'01.04.2022-2023'!$7:$10</definedName>
    <definedName name="_xlnm.Print_Titles" localSheetId="14">'01.04.2022-2023(оперативные)'!$7:$10</definedName>
    <definedName name="_xlnm.Print_Titles" localSheetId="10">'01.05.2022-2023'!$7:$10</definedName>
    <definedName name="_xlnm.Print_Titles" localSheetId="12">'01.05.2022-2023 (оперативные)'!$7:$10</definedName>
    <definedName name="_xlnm.Print_Titles" localSheetId="11">'01.05.2023 (ГЛАВЕ, кратко)'!$7:$10</definedName>
    <definedName name="_xlnm.Print_Titles" localSheetId="9">'01.06.2022-2023'!$7:$10</definedName>
    <definedName name="_xlnm.Print_Titles" localSheetId="8">'01.06.2023 (ГЛАВЕ, кратко)'!$7:$10</definedName>
    <definedName name="_xlnm.Print_Titles" localSheetId="7">'01.07.2022-2023'!$7:$10</definedName>
    <definedName name="_xlnm.Print_Titles" localSheetId="6">'01.07.2023 (ГЛАВЕ, кратко)'!$7:$10</definedName>
    <definedName name="_xlnm.Print_Titles" localSheetId="5">'01.08.2022-2023'!$7:$10</definedName>
    <definedName name="_xlnm.Print_Titles" localSheetId="4">'01.08.2022-2023 Главе КРАТКО'!$7:$8</definedName>
    <definedName name="_xlnm.Print_Titles" localSheetId="3">'01.09.2022-2023'!$7:$10</definedName>
    <definedName name="_xlnm.Print_Titles" localSheetId="2">'01.09.2022-2023 Главе КРАТКО'!$7:$8</definedName>
    <definedName name="_xlnm.Print_Titles" localSheetId="1">'01.10.2022-2023'!$7:$10</definedName>
    <definedName name="_xlnm.Print_Titles" localSheetId="0">'01.10.2022-2023 Главе КРАТКО'!$7:$8</definedName>
    <definedName name="_xlnm.Print_Area" localSheetId="16">'01.02.2022-2023'!$A$1:$Q$133</definedName>
    <definedName name="_xlnm.Print_Area" localSheetId="15">'01.03.2022-2023'!$A$1:$Q$133</definedName>
    <definedName name="_xlnm.Print_Area" localSheetId="13">'01.04.2022-2023'!$A$1:$Q$133</definedName>
    <definedName name="_xlnm.Print_Area" localSheetId="14">'01.04.2022-2023(оперативные)'!$A$1:$Q$133</definedName>
    <definedName name="_xlnm.Print_Area" localSheetId="10">'01.05.2022-2023'!$A$1:$Q$133</definedName>
    <definedName name="_xlnm.Print_Area" localSheetId="12">'01.05.2022-2023 (оперативные)'!$A$1:$Q$133</definedName>
    <definedName name="_xlnm.Print_Area" localSheetId="11">'01.05.2023 (ГЛАВЕ, кратко)'!$B$1:$Q$133</definedName>
    <definedName name="_xlnm.Print_Area" localSheetId="9">'01.06.2022-2023'!$A$1:$Q$133</definedName>
    <definedName name="_xlnm.Print_Area" localSheetId="8">'01.06.2023 (ГЛАВЕ, кратко)'!$B$1:$Q$133</definedName>
    <definedName name="_xlnm.Print_Area" localSheetId="7">'01.07.2022-2023'!$A$1:$Q$133</definedName>
    <definedName name="_xlnm.Print_Area" localSheetId="6">'01.07.2023 (ГЛАВЕ, кратко)'!$B$1:$Q$133</definedName>
    <definedName name="_xlnm.Print_Area" localSheetId="5">'01.08.2022-2023'!$A$1:$Q$133</definedName>
    <definedName name="_xlnm.Print_Area" localSheetId="4">'01.08.2022-2023 Главе КРАТКО'!$A$1:$Q$131</definedName>
    <definedName name="_xlnm.Print_Area" localSheetId="3">'01.09.2022-2023'!$A$1:$Q$133</definedName>
    <definedName name="_xlnm.Print_Area" localSheetId="2">'01.09.2022-2023 Главе КРАТКО'!$A$1:$Q$131</definedName>
    <definedName name="_xlnm.Print_Area" localSheetId="1">'01.10.2022-2023'!$A$1:$Q$133</definedName>
    <definedName name="_xlnm.Print_Area" localSheetId="0">'01.10.2022-2023 Главе КРАТКО'!$A$1:$Q$77</definedName>
  </definedNames>
  <calcPr fullCalcOnLoad="1"/>
</workbook>
</file>

<file path=xl/sharedStrings.xml><?xml version="1.0" encoding="utf-8"?>
<sst xmlns="http://schemas.openxmlformats.org/spreadsheetml/2006/main" count="7442" uniqueCount="326">
  <si>
    <t>Финансовое управление администрации городского округа Кинешма</t>
  </si>
  <si>
    <t>Единица измерения: руб.</t>
  </si>
  <si>
    <t>Наименование показателя</t>
  </si>
  <si>
    <t>Код</t>
  </si>
  <si>
    <t>Причины</t>
  </si>
  <si>
    <t/>
  </si>
  <si>
    <t>Сумма неисполнения(-) и перевыполнения (+), рублей</t>
  </si>
  <si>
    <t>% испол-нения</t>
  </si>
  <si>
    <t>План на год</t>
  </si>
  <si>
    <t>План на период</t>
  </si>
  <si>
    <r>
      <rPr>
        <sz val="10"/>
        <color indexed="8"/>
        <rFont val="Arial Cyr"/>
        <family val="0"/>
      </rPr>
      <t>Сумма неисполнения(-) 
и перевыполнения (+)</t>
    </r>
    <r>
      <rPr>
        <b/>
        <sz val="10"/>
        <color indexed="8"/>
        <rFont val="Arial Cyr"/>
        <family val="2"/>
      </rPr>
      <t xml:space="preserve"> за период, </t>
    </r>
    <r>
      <rPr>
        <sz val="10"/>
        <color indexed="8"/>
        <rFont val="Arial Cyr"/>
        <family val="0"/>
      </rPr>
      <t>рублей</t>
    </r>
  </si>
  <si>
    <t>% поступлений от суммы плана за период</t>
  </si>
  <si>
    <r>
      <rPr>
        <sz val="10"/>
        <color indexed="8"/>
        <rFont val="Arial Cyr"/>
        <family val="0"/>
      </rPr>
      <t xml:space="preserve">Сумма неисполнения
(-) и перевыполнения (+) </t>
    </r>
    <r>
      <rPr>
        <b/>
        <sz val="10"/>
        <color indexed="8"/>
        <rFont val="Arial Cyr"/>
        <family val="0"/>
      </rPr>
      <t>плана на год</t>
    </r>
    <r>
      <rPr>
        <sz val="10"/>
        <color indexed="8"/>
        <rFont val="Arial Cyr"/>
        <family val="0"/>
      </rPr>
      <t>, рублей</t>
    </r>
  </si>
  <si>
    <t>% от годовой суммы поступлений</t>
  </si>
  <si>
    <t>00010000000000000000</t>
  </si>
  <si>
    <t>1</t>
  </si>
  <si>
    <t xml:space="preserve">      НАЛОГОВЫЕ И НЕНАЛОГОВЫЕ ДОХОДЫ</t>
  </si>
  <si>
    <t>2</t>
  </si>
  <si>
    <t>НАЛОГОВЫЕ ДОХОДЫ</t>
  </si>
  <si>
    <t>00010102000000000000</t>
  </si>
  <si>
    <t>3</t>
  </si>
  <si>
    <t>НДФЛ</t>
  </si>
  <si>
    <t>00010102010000000000</t>
  </si>
  <si>
    <t xml:space="preserve">            </t>
  </si>
  <si>
    <t>00010102010010000110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</si>
  <si>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</si>
  <si>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</si>
  <si>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00010102010011000110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</si>
  <si>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</si>
  <si>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00010102010012100110</t>
  </si>
  <si>
    <t>00010102010013000110</t>
  </si>
  <si>
    <t>00010102010014000110</t>
  </si>
  <si>
    <t>00010102020000000000</t>
  </si>
  <si>
    <t>00010102020010000110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</si>
  <si>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</si>
  <si>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</si>
  <si>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00010102020011000110</t>
  </si>
  <si>
    <t>00010102020012100110</t>
  </si>
  <si>
    <t>00010102020013000110</t>
  </si>
  <si>
    <t>00010102030000000000</t>
  </si>
  <si>
    <t>00010102030010000110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</si>
  <si>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</si>
  <si>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</si>
  <si>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00010102030011000110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</si>
  <si>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</si>
  <si>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00010102030012100110</t>
  </si>
  <si>
    <t>00010102030013000110</t>
  </si>
  <si>
    <t>00010102030014000110</t>
  </si>
  <si>
    <t>00010102040000000000</t>
  </si>
  <si>
    <t>00010102040010000110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</si>
  <si>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</si>
  <si>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</si>
  <si>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00010102040011000110</t>
  </si>
  <si>
    <t xml:space="preserve">                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</si>
  <si>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00010302000000000000</t>
  </si>
  <si>
    <t>4</t>
  </si>
  <si>
    <t>АКЦИЗЫ</t>
  </si>
  <si>
    <t>00010500000000000000</t>
  </si>
  <si>
    <t>5</t>
  </si>
  <si>
    <t>НАЛОГИ НА СОВОКУПНЫЙ ДОХОД</t>
  </si>
  <si>
    <t>6</t>
  </si>
  <si>
    <t>УСН</t>
  </si>
  <si>
    <t>00010501000000000000</t>
  </si>
  <si>
    <t>00010502000000000000</t>
  </si>
  <si>
    <t>7</t>
  </si>
  <si>
    <t xml:space="preserve">ЕНВД
</t>
  </si>
  <si>
    <t>00010502010000000000</t>
  </si>
  <si>
    <t>00010502010020000110</t>
  </si>
  <si>
    <t xml:space="preserve">              Единый налог на вмененный доход для отдельных видов деятельности</t>
  </si>
  <si>
    <t xml:space="preserve">                Единый налог на вмененный доход для отдельных видов деятельности</t>
  </si>
  <si>
    <t>00010502010021000110</t>
  </si>
  <si>
    <t>00010502010022100110</t>
  </si>
  <si>
    <t>00010502010023000110</t>
  </si>
  <si>
    <t>00010502020000000000</t>
  </si>
  <si>
    <t>00010502020020000110</t>
  </si>
  <si>
    <t xml:space="preserve">              Единый налог на вмененный доход для отдельных видов деятельности (за налоговые периоды, истекшие до 1 января 2011 года)</t>
  </si>
  <si>
    <t>00010502020022100110</t>
  </si>
  <si>
    <t xml:space="preserve">                Единый налог на вмененный доход для отдельных видов деятельности (за налоговые периоды, истекшие до 1 января 2011 года)</t>
  </si>
  <si>
    <t>00010503000000000000</t>
  </si>
  <si>
    <t>8</t>
  </si>
  <si>
    <t>ЕСХН</t>
  </si>
  <si>
    <t>00010503010000000000</t>
  </si>
  <si>
    <t>00010503010010000110</t>
  </si>
  <si>
    <t xml:space="preserve">              Единый сельскохозяйственный налог</t>
  </si>
  <si>
    <t xml:space="preserve">                Единый сельскохозяйственный налог</t>
  </si>
  <si>
    <t>00010504000000000000</t>
  </si>
  <si>
    <t>9</t>
  </si>
  <si>
    <t>ПСН</t>
  </si>
  <si>
    <t>00010504010000000000</t>
  </si>
  <si>
    <t>00010504010020000110</t>
  </si>
  <si>
    <t xml:space="preserve">              Налог, взимаемый в связи с применением патентной системы налогообложения, зачисляемый в бюджеты городских округов</t>
  </si>
  <si>
    <t xml:space="preserve">                Налог, взимаемый в связи с применением патентной системы налогообложения, зачисляемый в бюджеты городских округов</t>
  </si>
  <si>
    <t>00010504010021000110</t>
  </si>
  <si>
    <t>00010504010022100110</t>
  </si>
  <si>
    <t>00010600000000000000</t>
  </si>
  <si>
    <t>10</t>
  </si>
  <si>
    <t>НАЛОГИ НА ИМУЩЕСТВО</t>
  </si>
  <si>
    <t>00010601000000000000</t>
  </si>
  <si>
    <t>11</t>
  </si>
  <si>
    <t>Налог на имущество физических лиц</t>
  </si>
  <si>
    <t>00010606032040000110</t>
  </si>
  <si>
    <t>12</t>
  </si>
  <si>
    <t>Земельный налог с организаций</t>
  </si>
  <si>
    <t>00010606042040000110</t>
  </si>
  <si>
    <t>13</t>
  </si>
  <si>
    <t xml:space="preserve">Земельный налог с физических лиц </t>
  </si>
  <si>
    <t>00010800000000000000</t>
  </si>
  <si>
    <t>14</t>
  </si>
  <si>
    <t>ГОСУДАРСТВЕННАЯ ПОШЛИНА</t>
  </si>
  <si>
    <t>00010803000000000000</t>
  </si>
  <si>
    <t>15</t>
  </si>
  <si>
    <t xml:space="preserve">          Государственная пошлина по делам, рассматриваемым в судах общей юрисдикции, мировыми судьями</t>
  </si>
  <si>
    <t>00010803010000000000</t>
  </si>
  <si>
    <t>00010803010010000110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</si>
  <si>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</si>
  <si>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</si>
  <si>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00010803010011000110</t>
  </si>
  <si>
    <t xml:space="preserve">                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</si>
  <si>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00010807000000000000</t>
  </si>
  <si>
    <t>16</t>
  </si>
  <si>
    <t xml:space="preserve">          Государственная пошлина за выдачу разрешения на установку рекламной конструкции</t>
  </si>
  <si>
    <t>00010807150000000000</t>
  </si>
  <si>
    <t>00010807150010000110</t>
  </si>
  <si>
    <t xml:space="preserve">              Государственная пошлина за выдачу разрешения на установку рекламной конструкции</t>
  </si>
  <si>
    <t xml:space="preserve">                Государственная пошлина за выдачу разрешения на установку рекламной конструкции</t>
  </si>
  <si>
    <t>00010900000000000000</t>
  </si>
  <si>
    <t>17</t>
  </si>
  <si>
    <t>ОТМЕНЕННЫЕ НАЛОГИ, СБОРЫ И ИНЫЕ ОБЯЗАТЕЛЬНЫЕ ПЛАТЕЖИ</t>
  </si>
  <si>
    <t>00010907032000000000</t>
  </si>
  <si>
    <t>00010907032040000110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</si>
  <si>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</si>
  <si>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00010907032041000110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</si>
  <si>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</si>
  <si>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18</t>
  </si>
  <si>
    <t>НЕНАЛОГОВЫЕ ДОХОДЫ</t>
  </si>
  <si>
    <t>00011100000000000000</t>
  </si>
  <si>
    <t>19</t>
  </si>
  <si>
    <t>ДОХОДЫ ОТ ИСПОЛЬЗОВАНИЯ ИМУЩЕСТВА</t>
  </si>
  <si>
    <t>00011105012040000120</t>
  </si>
  <si>
    <t>20</t>
  </si>
  <si>
    <t>Аренда земли</t>
  </si>
  <si>
    <t>00011105034040000120</t>
  </si>
  <si>
    <t>21</t>
  </si>
  <si>
    <t>Аренда имущества</t>
  </si>
  <si>
    <t>22</t>
  </si>
  <si>
    <t>Плата по соглашениям об установлении сервитута</t>
  </si>
  <si>
    <t>00011105324040000120</t>
  </si>
  <si>
    <t>В 2020 году заключено одно соглашение (срок действия до 11.02.2040). Сроки уплаты по соглашению - ежеквартально, фактически уплата производится полностью после получения уведомлений. Ежегодно индексируется на коэффициент инфляции. Плата определяется в соответствии с ПА от 28.07.2015 №1787п</t>
  </si>
  <si>
    <t>00011107000000000000</t>
  </si>
  <si>
    <t>23</t>
  </si>
  <si>
    <t>Платежи от МУПов</t>
  </si>
  <si>
    <t>00011107014000000000</t>
  </si>
  <si>
    <t>00011107014040000120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</si>
  <si>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</si>
  <si>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</si>
  <si>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00011109000000000000</t>
  </si>
  <si>
    <t>24</t>
  </si>
  <si>
    <t>Наем муниципальных помещений</t>
  </si>
  <si>
    <t>00011200000000000000</t>
  </si>
  <si>
    <t>25</t>
  </si>
  <si>
    <t>ПЛАТЕЖИ ПРИ ПОЛЬЗОВАНИИ ПРИРОДНЫМИ РЕСУРСАМИ</t>
  </si>
  <si>
    <t>00011201010000000000</t>
  </si>
  <si>
    <t>00011201010010000120</t>
  </si>
  <si>
    <t xml:space="preserve">              Плата за выбросы загрязняющих веществ в атмосферный воздух стационарными объектами</t>
  </si>
  <si>
    <t xml:space="preserve">                Плата за выбросы загрязняющих веществ в атмосферный воздух стационарными объектами</t>
  </si>
  <si>
    <t>00011201010016000120</t>
  </si>
  <si>
    <t>00011201020000000000</t>
  </si>
  <si>
    <t>00011201020010000120</t>
  </si>
  <si>
    <t xml:space="preserve">              Плата за выбросы загрязняющих веществ в атмосферный воздух передвижными объектами</t>
  </si>
  <si>
    <t>00011201020016000120</t>
  </si>
  <si>
    <t xml:space="preserve">                Плата за выбросы загрязняющих веществ в атмосферный воздух передвижными объектами</t>
  </si>
  <si>
    <t>00011201030000000000</t>
  </si>
  <si>
    <t>00011201030010000120</t>
  </si>
  <si>
    <t xml:space="preserve">              Плата за сбросы загрязняющих веществ в водные объекты</t>
  </si>
  <si>
    <t xml:space="preserve">                Плата за сбросы загрязняющих веществ в водные объекты</t>
  </si>
  <si>
    <t>00011201030016000120</t>
  </si>
  <si>
    <t xml:space="preserve">                Плата за выбросы загрязняющих веществ в водные объекты</t>
  </si>
  <si>
    <t>00011201040000000000</t>
  </si>
  <si>
    <t>00011201040010000120</t>
  </si>
  <si>
    <t xml:space="preserve">              Плата за размещение отходов производства и потребления</t>
  </si>
  <si>
    <t xml:space="preserve">                Плата за размещение отходов производства и потребления</t>
  </si>
  <si>
    <t>00011201040016000120</t>
  </si>
  <si>
    <t xml:space="preserve">                Плата за размещение отходов прозводства и потребления</t>
  </si>
  <si>
    <t>00011300000000000000</t>
  </si>
  <si>
    <t>26</t>
  </si>
  <si>
    <t>ДОХОДЫ ОТ ОКАЗАНИЯ ПЛАТНЫХ УСЛУГ (РАБОТ) И КОМПЕНСАЦИИ ЗАТРАТ ГОСУДАРСТВА</t>
  </si>
  <si>
    <t>00011301000000000000</t>
  </si>
  <si>
    <t>27</t>
  </si>
  <si>
    <t>Доходы от оказания платных услуг (работ)</t>
  </si>
  <si>
    <t>00011301994000000000</t>
  </si>
  <si>
    <t>28</t>
  </si>
  <si>
    <t>Доходы от компенсации затрат государства</t>
  </si>
  <si>
    <t>00011302994000000000</t>
  </si>
  <si>
    <t>00011400000000000000</t>
  </si>
  <si>
    <t>29</t>
  </si>
  <si>
    <t xml:space="preserve">        ДОХОДЫ ОТ ПРОДАЖИ МАТЕРИАЛЬНЫХ И НЕМАТЕРИАЛЬНЫХ АКТИВОВ</t>
  </si>
  <si>
    <t>00011402000000000000</t>
  </si>
  <si>
    <t>30</t>
  </si>
  <si>
    <t>Доходы от реализации имущества и квартир</t>
  </si>
  <si>
    <t>00011406000000000000</t>
  </si>
  <si>
    <t>31</t>
  </si>
  <si>
    <t>Доходы от продажи земельных участков</t>
  </si>
  <si>
    <t>00011600000000000000</t>
  </si>
  <si>
    <t>32</t>
  </si>
  <si>
    <t xml:space="preserve">        ШТРАФЫ, САНКЦИИ, ВОЗМЕЩЕНИЕ УЩЕРБА</t>
  </si>
  <si>
    <t>00011700000000000000</t>
  </si>
  <si>
    <t>33</t>
  </si>
  <si>
    <t xml:space="preserve">        ПРОЧИЕ НЕНАЛОГОВЫЕ ДОХОДЫ</t>
  </si>
  <si>
    <t>34</t>
  </si>
  <si>
    <t xml:space="preserve">                 Плата за право заключения договоров на установку и эксплуатацию рекламных конструкций</t>
  </si>
  <si>
    <t>00011705040040001180</t>
  </si>
  <si>
    <t>00011705040040002180</t>
  </si>
  <si>
    <t>35</t>
  </si>
  <si>
    <t xml:space="preserve">                Плата по договорам на установку и эксплуатацию рекламной конструкции</t>
  </si>
  <si>
    <t>00011705040040003180</t>
  </si>
  <si>
    <t>36</t>
  </si>
  <si>
    <t xml:space="preserve">                Взносы от погашения ипотечных кредитов </t>
  </si>
  <si>
    <t>00011705040040004180</t>
  </si>
  <si>
    <t>37</t>
  </si>
  <si>
    <t xml:space="preserve">                Прочие неналоговые доходы бюджетов городских округов</t>
  </si>
  <si>
    <t>00011705040040005180</t>
  </si>
  <si>
    <t xml:space="preserve">                Плата за предоставление торгового места</t>
  </si>
  <si>
    <t>Перечисляются на счет во временном распоряжении с 2018 года, в бюджете не отражаются</t>
  </si>
  <si>
    <t>00011705040040006180</t>
  </si>
  <si>
    <t>38</t>
  </si>
  <si>
    <t xml:space="preserve">                Плата по договорам на размещение нестационарного объекта для осуществления торговли и оказания услуг</t>
  </si>
  <si>
    <t>39</t>
  </si>
  <si>
    <t>Инициативные платежи</t>
  </si>
  <si>
    <t>00020000000000000000</t>
  </si>
  <si>
    <t xml:space="preserve">      БЕЗВОЗМЕЗДНЫЕ ПОСТУПЛЕНИЯ</t>
  </si>
  <si>
    <t>×</t>
  </si>
  <si>
    <t>00020215000000000000</t>
  </si>
  <si>
    <t>40</t>
  </si>
  <si>
    <t xml:space="preserve">Дотации </t>
  </si>
  <si>
    <t>00020215001000000000</t>
  </si>
  <si>
    <t xml:space="preserve">            Дотации на выравнивание бюджетной обеспеченности</t>
  </si>
  <si>
    <t>00020215001040000151</t>
  </si>
  <si>
    <t xml:space="preserve">              Дотации бюджетам городских округов на выравнивание бюджетной обеспеченности</t>
  </si>
  <si>
    <t xml:space="preserve">                Дотации бюджетам городских округов на выравнивание бюджетной обеспеченности</t>
  </si>
  <si>
    <t>00020229000000000000</t>
  </si>
  <si>
    <t>41</t>
  </si>
  <si>
    <t>Субсидии</t>
  </si>
  <si>
    <t>00020220000000000151</t>
  </si>
  <si>
    <t>00020229999040000151</t>
  </si>
  <si>
    <t>42</t>
  </si>
  <si>
    <t>Субвенции</t>
  </si>
  <si>
    <t>00020230000000000151</t>
  </si>
  <si>
    <t>43</t>
  </si>
  <si>
    <t>Иные МБТ</t>
  </si>
  <si>
    <t>44</t>
  </si>
  <si>
    <t>Поступления от фондов, негосударственных организаций и проч.</t>
  </si>
  <si>
    <t>00021900000000000000</t>
  </si>
  <si>
    <t>45</t>
  </si>
  <si>
    <t>Возвраты остатков МБТ прошлых лет</t>
  </si>
  <si>
    <t>ИТОГО ДОХОДОВ</t>
  </si>
  <si>
    <t>Невыясненные поступления</t>
  </si>
  <si>
    <t>Исполнение на 01.02.</t>
  </si>
  <si>
    <t>Срок уплаты - до 10 апреля года, следующего за отчетным</t>
  </si>
  <si>
    <t xml:space="preserve">Штрафы за несоблюдение КОАП, остатки ДЗ, сложившейся на 01.01.2020 (с каждым годом объем поступлений будет снижаться) и за ненадлежащее исполнение обязательств перед мун.органом (МКУ)
</t>
  </si>
  <si>
    <t xml:space="preserve">Уплата производится ежеквартально за десять дней до наступления очередного квартала
</t>
  </si>
  <si>
    <t>Сравнительный анализ поступлений на 01.02.2022-2023</t>
  </si>
  <si>
    <t>Исполнение за год</t>
  </si>
  <si>
    <t>Отклонение исполнения 
(2023-2022)</t>
  </si>
  <si>
    <t>Отменен с 01.01.2021</t>
  </si>
  <si>
    <t>Сравнительный анализ поступлений на 01.03.2022-2023</t>
  </si>
  <si>
    <t>Исполнение на 01.03.</t>
  </si>
  <si>
    <t>Изменение  с 01.01.2023 ранее действовавшего механизма уплаты налогов  на единый налоговый платеж. Пояснения о причинах низкой собираемости налогов будут даны не ранее 01.07.2023</t>
  </si>
  <si>
    <t>-//-</t>
  </si>
  <si>
    <t>Погашение дебиторской задолженности</t>
  </si>
  <si>
    <t xml:space="preserve">В 2022 году перечисление инициативных платежей осуществлялось в период март-май  </t>
  </si>
  <si>
    <t>Сравнительный анализ поступлений на 01.04.2022-2023</t>
  </si>
  <si>
    <t>Исполнение на 01.04.</t>
  </si>
  <si>
    <t>Оперативные данные</t>
  </si>
  <si>
    <t>Сравнительный анализ поступлений на 01.05.2022-2023</t>
  </si>
  <si>
    <t>Исполнение на 01.05.</t>
  </si>
  <si>
    <t>ОПЕРАТИВНЫЕ ДАННЫЕ</t>
  </si>
  <si>
    <t>В том числе земельный налог с организаций</t>
  </si>
  <si>
    <t>НАЛОГОВЫЕ И НЕНАЛОГОВЫЕ ДОХОДЫ</t>
  </si>
  <si>
    <t>НАЛОГОВЫЕ ДОХОДЫ, в том числе:</t>
  </si>
  <si>
    <t>НЕНАЛОГОВЫЕ ДОХОДЫ, в том числе</t>
  </si>
  <si>
    <t>ПРОЧИЕ НЕНАЛОГОВЫЕ ДОХОДЫ</t>
  </si>
  <si>
    <t>ШТРАФЫ (без учета гарантии по мостам)</t>
  </si>
  <si>
    <t xml:space="preserve">ДОХОДЫ ОТ ИСПОЛЬЗОВАНИЯ ИМУЩЕСТВА (аренда, наем МЖФ) </t>
  </si>
  <si>
    <t>ДОХОДЫ ОТ ПРОДАЖ  (ЗЕМЛЯ, ИМУЩЕСТВО)</t>
  </si>
  <si>
    <t>Отклонение 
(2023-2022)</t>
  </si>
  <si>
    <t>Единица измерения: МЛН. руб.</t>
  </si>
  <si>
    <t xml:space="preserve">Штрафы за несоблюдение КОАП, остатки ДЗ, сложившейся на 01.01.2020 (с каждым годом объем поступлений будет снижаться) и за ненадлежащее исполнение обязательств перед мун.органом (МКУ). В 2023 году поступила сумма бансковской гарантии (мосты, ГУС), которая частично будет уточнена на КБК 113 02994 04
</t>
  </si>
  <si>
    <t>15.05.2023 поступило 501,3 т.р. - размещение нестационарного объекта на Чкаловском (Магнит), за сезон, до 01.11.2023</t>
  </si>
  <si>
    <t>Сравнительный анализ поступлений на 01.06.2022-2023</t>
  </si>
  <si>
    <t>Исполнение на 01.06.</t>
  </si>
  <si>
    <t xml:space="preserve">ДОХОДЫ ОТ ИСПОЛЬЗОВАНИЯ ИМУЩЕСТВА (аренда, наем МЖФ, прибыль МУПов) </t>
  </si>
  <si>
    <t xml:space="preserve">Штрафы за несоблюдение КОАП, остатки ДЗ, сложившейся на 01.01.2020 (с каждым годом объем поступлений будет снижаться) и за ненадлежащее исполнение обязательств перед мун.органом (МКУ). В 2023 году поступила сумма штрафа (мосты, ГУС), 3.171.933,16 руб.
</t>
  </si>
  <si>
    <t xml:space="preserve">Поступила банковская гарантия по мостам 18 361 138,04 руб. (уточнение с КБК штрафы) с последующим возвратом в областной бюджет </t>
  </si>
  <si>
    <t>В 2023 году поступлений не будет, заемщики расплатились полностью, план будет скорректирован</t>
  </si>
  <si>
    <t>Сравнительный анализ поступлений на 01.07.2022-2023</t>
  </si>
  <si>
    <t>Исполнение на 01.07.</t>
  </si>
  <si>
    <r>
      <t xml:space="preserve">14 февраля 2023 года Кинешемская ЦРБ направила уведомление по ЗН ЮЛ за 3 кв. 2022 на сумму 355 руб., из-за этого авансовые платежи за 3 квартала 2022 года в сумме </t>
    </r>
    <r>
      <rPr>
        <sz val="10"/>
        <color indexed="10"/>
        <rFont val="Arial Cyr"/>
        <family val="0"/>
      </rPr>
      <t>7231696,30</t>
    </r>
    <r>
      <rPr>
        <sz val="10"/>
        <color indexed="8"/>
        <rFont val="Arial Cyr"/>
        <family val="2"/>
      </rPr>
      <t xml:space="preserve"> руб.были отвлечены из бюджета на стартовую переплату, из нее же произошла оплата за 4 кв. 2022 - 2399538,00 руб (</t>
    </r>
    <r>
      <rPr>
        <sz val="10"/>
        <color indexed="10"/>
        <rFont val="Arial Cyr"/>
        <family val="0"/>
      </rPr>
      <t>-7231696,3</t>
    </r>
    <r>
      <rPr>
        <sz val="10"/>
        <color indexed="8"/>
        <rFont val="Arial Cyr"/>
        <family val="2"/>
      </rPr>
      <t>+2399538,0=</t>
    </r>
    <r>
      <rPr>
        <sz val="10"/>
        <color indexed="10"/>
        <rFont val="Arial Cyr"/>
        <family val="0"/>
      </rPr>
      <t>-4832158,3</t>
    </r>
    <r>
      <rPr>
        <sz val="10"/>
        <color indexed="8"/>
        <rFont val="Arial Cyr"/>
        <family val="2"/>
      </rPr>
      <t xml:space="preserve"> руб. свернутое исполнение за 1 кв. 2023 года по ЦРБ). Начисления за 2022 год составили 9599309,0 руб. Со слов сотрудников УФНС 10.07.2023 должна поступить сумма ЗН ЮЛ 7199771,0 руб. </t>
    </r>
  </si>
  <si>
    <t>Исполнение на 01.08.</t>
  </si>
  <si>
    <t>Сравнительный анализ поступлений на 01.08.2022-2023</t>
  </si>
  <si>
    <t>в том числе земельный налог с организаций</t>
  </si>
  <si>
    <t>ОТМЕНЕННЫЕ НАЛОГИ</t>
  </si>
  <si>
    <t>Исполнение на 01.08.22</t>
  </si>
  <si>
    <t>Исполнение на 01.08.23</t>
  </si>
  <si>
    <t>Отклонение 2023-22</t>
  </si>
  <si>
    <t>Сумма неисполнения(-) 
и перевыполнения (+) за период, рублей</t>
  </si>
  <si>
    <t>Сумма неисполнения
(-) и перевыполнения (+) плана на год, рублей</t>
  </si>
  <si>
    <t>НЕНАЛОГОВЫЕ ДОХОДЫ (без учета гарантии по мостам)</t>
  </si>
  <si>
    <t>1.1.</t>
  </si>
  <si>
    <t>Наименование</t>
  </si>
  <si>
    <t>Единица измерения: млн. руб.</t>
  </si>
  <si>
    <t>1.1.1.</t>
  </si>
  <si>
    <t>1.1.2.</t>
  </si>
  <si>
    <t>1.1.3</t>
  </si>
  <si>
    <t>1.1.4.</t>
  </si>
  <si>
    <t>1.1.5.</t>
  </si>
  <si>
    <r>
      <t xml:space="preserve">14 февраля 2023 года Кинешемская ЦРБ направила уведомление по ЗН ЮЛ за 3 кв. 2022 на сумму 355 руб., из-за этого авансовые платежи за 3 квартала 2022 года в сумме </t>
    </r>
    <r>
      <rPr>
        <i/>
        <sz val="18"/>
        <color indexed="10"/>
        <rFont val="Times New Roman"/>
        <family val="1"/>
      </rPr>
      <t>7231696,30</t>
    </r>
    <r>
      <rPr>
        <i/>
        <sz val="18"/>
        <color indexed="8"/>
        <rFont val="Times New Roman"/>
        <family val="1"/>
      </rPr>
      <t xml:space="preserve"> руб.были отвлечены из бюджета на стартовую переплату, из нее же произошла оплата за 4 кв. 2022 - 2399538,00 руб (</t>
    </r>
    <r>
      <rPr>
        <i/>
        <sz val="18"/>
        <color indexed="10"/>
        <rFont val="Times New Roman"/>
        <family val="1"/>
      </rPr>
      <t>-7231696,3</t>
    </r>
    <r>
      <rPr>
        <i/>
        <sz val="18"/>
        <color indexed="8"/>
        <rFont val="Times New Roman"/>
        <family val="1"/>
      </rPr>
      <t>+2399538,0=</t>
    </r>
    <r>
      <rPr>
        <i/>
        <sz val="18"/>
        <color indexed="10"/>
        <rFont val="Times New Roman"/>
        <family val="1"/>
      </rPr>
      <t>-4832158,3</t>
    </r>
    <r>
      <rPr>
        <i/>
        <sz val="18"/>
        <color indexed="8"/>
        <rFont val="Times New Roman"/>
        <family val="1"/>
      </rPr>
      <t xml:space="preserve"> руб. свернутое исполнение за 1 кв. 2023 года по ЦРБ). Начисления за 2022 год составили 9599309,0 руб. Со слов сотрудников УФНС 10.07.2023 должна поступить сумма ЗН ЮЛ 7199771,0 руб. </t>
    </r>
  </si>
  <si>
    <t>1.1.6.</t>
  </si>
  <si>
    <t>1.2.</t>
  </si>
  <si>
    <t>Сравнительный анализ поступлений на 01.09.2022-2023</t>
  </si>
  <si>
    <t>Исполнение на 01.09.22</t>
  </si>
  <si>
    <t>Исполнение на 01.09.23</t>
  </si>
  <si>
    <t>Исполнение на 01.09.</t>
  </si>
  <si>
    <t>Сравнительный анализ поступлений на 01.10.2022-2023</t>
  </si>
  <si>
    <t>Исполнение на 01.10.</t>
  </si>
  <si>
    <t>Исполнение на 01.10.22</t>
  </si>
  <si>
    <t>Исполнение на 01.10.23</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</si>
</sst>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_ ;\-#,##0.00\ "/>
  </numFmts>
  <fonts count="112">
    <font>
      <sz val="11"/>
      <name val="Calibri"/>
      <family val="2"/>
    </font>
    <font>
      <sz val="11"/>
      <color indexed="8"/>
      <name val="Calibri"/>
      <family val="2"/>
    </font>
    <font>
      <sz val="10"/>
      <color indexed="8"/>
      <name val="Arial Cyr"/>
      <family val="2"/>
    </font>
    <font>
      <b/>
      <sz val="12"/>
      <color indexed="8"/>
      <name val="Arial Cyr"/>
      <family val="2"/>
    </font>
    <font>
      <sz val="12"/>
      <color indexed="8"/>
      <name val="Arial Cyr"/>
      <family val="2"/>
    </font>
    <font>
      <b/>
      <sz val="10"/>
      <color indexed="8"/>
      <name val="Arial Cyr"/>
      <family val="0"/>
    </font>
    <font>
      <b/>
      <sz val="11"/>
      <name val="Calibri"/>
      <family val="2"/>
    </font>
    <font>
      <b/>
      <sz val="11"/>
      <color indexed="8"/>
      <name val="Arial Cyr"/>
      <family val="2"/>
    </font>
    <font>
      <sz val="10"/>
      <name val="Arial Cyr"/>
      <family val="0"/>
    </font>
    <font>
      <sz val="11"/>
      <color indexed="8"/>
      <name val="Arial Cyr"/>
      <family val="2"/>
    </font>
    <font>
      <b/>
      <sz val="12"/>
      <color indexed="8"/>
      <name val="Times New Roman"/>
      <family val="1"/>
    </font>
    <font>
      <sz val="12"/>
      <color indexed="8"/>
      <name val="Times New Roman"/>
      <family val="1"/>
    </font>
    <font>
      <sz val="12"/>
      <name val="Calibri"/>
      <family val="2"/>
    </font>
    <font>
      <b/>
      <sz val="12"/>
      <name val="Calibri"/>
      <family val="2"/>
    </font>
    <font>
      <b/>
      <sz val="10"/>
      <color indexed="8"/>
      <name val="Arial CYR"/>
      <family val="0"/>
    </font>
    <font>
      <sz val="9"/>
      <color indexed="8"/>
      <name val="Cambria"/>
      <family val="1"/>
    </font>
    <font>
      <i/>
      <sz val="9"/>
      <color indexed="8"/>
      <name val="Cambria"/>
      <family val="1"/>
    </font>
    <font>
      <sz val="14"/>
      <color indexed="8"/>
      <name val="Arial Cyr"/>
      <family val="2"/>
    </font>
    <font>
      <b/>
      <sz val="14"/>
      <color indexed="8"/>
      <name val="Arial Cyr"/>
      <family val="0"/>
    </font>
    <font>
      <sz val="16"/>
      <color indexed="8"/>
      <name val="Arial Cyr"/>
      <family val="2"/>
    </font>
    <font>
      <sz val="16"/>
      <name val="Calibri"/>
      <family val="2"/>
    </font>
    <font>
      <b/>
      <sz val="16"/>
      <color indexed="8"/>
      <name val="Arial Cyr"/>
      <family val="0"/>
    </font>
    <font>
      <b/>
      <sz val="16"/>
      <name val="Calibri"/>
      <family val="2"/>
    </font>
    <font>
      <sz val="16"/>
      <name val="Arial Cyr"/>
      <family val="0"/>
    </font>
    <font>
      <sz val="16"/>
      <color indexed="8"/>
      <name val="Times New Roman"/>
      <family val="1"/>
    </font>
    <font>
      <b/>
      <sz val="18"/>
      <color indexed="8"/>
      <name val="Arial Cyr"/>
      <family val="2"/>
    </font>
    <font>
      <sz val="18"/>
      <color indexed="8"/>
      <name val="Arial Cyr"/>
      <family val="2"/>
    </font>
    <font>
      <b/>
      <sz val="20"/>
      <color indexed="8"/>
      <name val="Arial Cyr"/>
      <family val="2"/>
    </font>
    <font>
      <sz val="20"/>
      <color indexed="8"/>
      <name val="Arial Cyr"/>
      <family val="2"/>
    </font>
    <font>
      <i/>
      <sz val="16"/>
      <color indexed="8"/>
      <name val="Arial Cyr"/>
      <family val="2"/>
    </font>
    <font>
      <i/>
      <sz val="16"/>
      <name val="Calibri"/>
      <family val="2"/>
    </font>
    <font>
      <b/>
      <sz val="24"/>
      <color indexed="8"/>
      <name val="Arial Cyr"/>
      <family val="2"/>
    </font>
    <font>
      <sz val="24"/>
      <color indexed="8"/>
      <name val="Arial Cyr"/>
      <family val="2"/>
    </font>
    <font>
      <i/>
      <sz val="18"/>
      <color indexed="8"/>
      <name val="Arial Cyr"/>
      <family val="2"/>
    </font>
    <font>
      <b/>
      <sz val="18"/>
      <name val="Calibri"/>
      <family val="2"/>
    </font>
    <font>
      <sz val="10"/>
      <color indexed="10"/>
      <name val="Arial Cyr"/>
      <family val="0"/>
    </font>
    <font>
      <b/>
      <sz val="18"/>
      <name val="Times New Roman"/>
      <family val="1"/>
    </font>
    <font>
      <sz val="18"/>
      <color indexed="8"/>
      <name val="Times New Roman"/>
      <family val="1"/>
    </font>
    <font>
      <sz val="18"/>
      <name val="Times New Roman"/>
      <family val="1"/>
    </font>
    <font>
      <b/>
      <sz val="18"/>
      <color indexed="8"/>
      <name val="Times New Roman"/>
      <family val="1"/>
    </font>
    <font>
      <b/>
      <sz val="22"/>
      <color indexed="8"/>
      <name val="Times New Roman"/>
      <family val="1"/>
    </font>
    <font>
      <b/>
      <sz val="22"/>
      <name val="Times New Roman"/>
      <family val="1"/>
    </font>
    <font>
      <sz val="24"/>
      <color indexed="8"/>
      <name val="Times New Roman"/>
      <family val="1"/>
    </font>
    <font>
      <b/>
      <sz val="24"/>
      <color indexed="8"/>
      <name val="Times New Roman"/>
      <family val="1"/>
    </font>
    <font>
      <i/>
      <sz val="18"/>
      <color indexed="8"/>
      <name val="Times New Roman"/>
      <family val="1"/>
    </font>
    <font>
      <i/>
      <sz val="18"/>
      <color indexed="10"/>
      <name val="Times New Roman"/>
      <family val="1"/>
    </font>
    <font>
      <i/>
      <sz val="18"/>
      <name val="Times New Roman"/>
      <family val="1"/>
    </font>
    <font>
      <i/>
      <sz val="24"/>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b/>
      <sz val="10"/>
      <color rgb="FF000000"/>
      <name val="Arial CYR"/>
      <family val="0"/>
    </font>
    <font>
      <sz val="9"/>
      <color rgb="FF000000"/>
      <name val="Cambria"/>
      <family val="1"/>
    </font>
    <font>
      <i/>
      <sz val="9"/>
      <color rgb="FF000000"/>
      <name val="Cambria"/>
      <family val="1"/>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rgb="FF000000"/>
      <name val="Arial Cyr"/>
      <family val="2"/>
    </font>
    <font>
      <sz val="11"/>
      <color rgb="FF000000"/>
      <name val="Arial Cyr"/>
      <family val="2"/>
    </font>
    <font>
      <sz val="12"/>
      <color rgb="FF000000"/>
      <name val="Arial Cyr"/>
      <family val="2"/>
    </font>
    <font>
      <b/>
      <sz val="12"/>
      <color rgb="FF000000"/>
      <name val="Times New Roman"/>
      <family val="1"/>
    </font>
    <font>
      <sz val="12"/>
      <color rgb="FF000000"/>
      <name val="Times New Roman"/>
      <family val="1"/>
    </font>
    <font>
      <b/>
      <sz val="16"/>
      <color rgb="FF000000"/>
      <name val="Arial Cyr"/>
      <family val="2"/>
    </font>
    <font>
      <sz val="16"/>
      <color rgb="FF000000"/>
      <name val="Arial Cyr"/>
      <family val="2"/>
    </font>
    <font>
      <sz val="16"/>
      <color rgb="FF000000"/>
      <name val="Times New Roman"/>
      <family val="1"/>
    </font>
    <font>
      <b/>
      <sz val="20"/>
      <color rgb="FF000000"/>
      <name val="Arial Cyr"/>
      <family val="2"/>
    </font>
    <font>
      <sz val="20"/>
      <color rgb="FF000000"/>
      <name val="Arial Cyr"/>
      <family val="2"/>
    </font>
    <font>
      <i/>
      <sz val="16"/>
      <color rgb="FF000000"/>
      <name val="Arial Cyr"/>
      <family val="2"/>
    </font>
    <font>
      <b/>
      <sz val="24"/>
      <color rgb="FF000000"/>
      <name val="Arial Cyr"/>
      <family val="2"/>
    </font>
    <font>
      <sz val="24"/>
      <color rgb="FF000000"/>
      <name val="Arial Cyr"/>
      <family val="2"/>
    </font>
    <font>
      <i/>
      <sz val="18"/>
      <color rgb="FF000000"/>
      <name val="Arial Cyr"/>
      <family val="2"/>
    </font>
    <font>
      <b/>
      <sz val="18"/>
      <color rgb="FF000000"/>
      <name val="Arial Cyr"/>
      <family val="2"/>
    </font>
    <font>
      <sz val="18"/>
      <color rgb="FF000000"/>
      <name val="Arial Cyr"/>
      <family val="2"/>
    </font>
    <font>
      <b/>
      <sz val="18"/>
      <color rgb="FF000000"/>
      <name val="Times New Roman"/>
      <family val="1"/>
    </font>
    <font>
      <sz val="18"/>
      <color rgb="FF000000"/>
      <name val="Times New Roman"/>
      <family val="1"/>
    </font>
    <font>
      <b/>
      <sz val="22"/>
      <color rgb="FF000000"/>
      <name val="Times New Roman"/>
      <family val="1"/>
    </font>
    <font>
      <i/>
      <sz val="18"/>
      <color rgb="FF000000"/>
      <name val="Times New Roman"/>
      <family val="1"/>
    </font>
    <font>
      <b/>
      <sz val="24"/>
      <color rgb="FF000000"/>
      <name val="Times New Roman"/>
      <family val="1"/>
    </font>
    <font>
      <sz val="24"/>
      <color rgb="FF000000"/>
      <name val="Times New Roman"/>
      <family val="1"/>
    </font>
    <font>
      <i/>
      <sz val="24"/>
      <color rgb="FF000000"/>
      <name val="Times New Roman"/>
      <family val="1"/>
    </font>
    <font>
      <b/>
      <sz val="14"/>
      <color rgb="FF000000"/>
      <name val="Arial Cyr"/>
      <family val="0"/>
    </font>
    <font>
      <sz val="14"/>
      <color rgb="FF000000"/>
      <name val="Arial Cyr"/>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s>
  <borders count="96">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style="thin">
        <color rgb="FF000000"/>
      </bottom>
    </border>
    <border>
      <left/>
      <right/>
      <top style="thin">
        <color rgb="FF000000"/>
      </top>
      <bottom/>
    </border>
    <border>
      <left style="thin">
        <color rgb="FF000000"/>
      </left>
      <right style="thin">
        <color rgb="FF000000"/>
      </right>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top style="medium"/>
      <bottom/>
    </border>
    <border>
      <left style="medium"/>
      <right/>
      <top style="thin">
        <color rgb="FF000000"/>
      </top>
      <bottom style="thin">
        <color rgb="FF000000"/>
      </bottom>
    </border>
    <border>
      <left style="thin"/>
      <right style="thin"/>
      <top style="thin"/>
      <bottom style="thin"/>
    </border>
    <border>
      <left/>
      <right style="thin"/>
      <top style="thin"/>
      <bottom style="thin"/>
    </border>
    <border>
      <left/>
      <right style="thin">
        <color rgb="FF000000"/>
      </right>
      <top/>
      <bottom style="medium"/>
    </border>
    <border>
      <left style="thin">
        <color rgb="FF000000"/>
      </left>
      <right style="thin">
        <color rgb="FF000000"/>
      </right>
      <top/>
      <bottom style="medium"/>
    </border>
    <border>
      <left style="thin">
        <color rgb="FF000000"/>
      </left>
      <right style="medium"/>
      <top/>
      <bottom style="medium"/>
    </border>
    <border>
      <left style="thin"/>
      <right style="thin"/>
      <top style="thin"/>
      <bottom/>
    </border>
    <border>
      <left/>
      <right style="thin">
        <color rgb="FF000000"/>
      </right>
      <top/>
      <bottom/>
    </border>
    <border>
      <left style="thin">
        <color rgb="FF000000"/>
      </left>
      <right style="thin">
        <color rgb="FF000000"/>
      </right>
      <top/>
      <bottom/>
    </border>
    <border>
      <left style="thin">
        <color rgb="FF000000"/>
      </left>
      <right style="thin">
        <color rgb="FF000000"/>
      </right>
      <top style="medium"/>
      <bottom/>
    </border>
    <border>
      <left style="thin">
        <color rgb="FF000000"/>
      </left>
      <right style="medium"/>
      <top/>
      <bottom/>
    </border>
    <border>
      <left/>
      <right/>
      <top style="thin"/>
      <bottom/>
    </border>
    <border>
      <left style="thin"/>
      <right/>
      <top style="thin"/>
      <bottom/>
    </border>
    <border>
      <left style="thin"/>
      <right style="thin"/>
      <top/>
      <bottom style="thin"/>
    </border>
    <border>
      <left/>
      <right/>
      <top/>
      <bottom style="thin"/>
    </border>
    <border>
      <left style="thin"/>
      <right/>
      <top/>
      <bottom style="thin"/>
    </border>
    <border>
      <left/>
      <right style="thin">
        <color rgb="FF000000"/>
      </right>
      <top/>
      <bottom style="thin">
        <color rgb="FF000000"/>
      </bottom>
    </border>
    <border>
      <left style="thin">
        <color rgb="FF000000"/>
      </left>
      <right/>
      <top/>
      <bottom style="thin">
        <color rgb="FF000000"/>
      </bottom>
    </border>
    <border>
      <left style="thin">
        <color rgb="FF000000"/>
      </left>
      <right style="medium"/>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medium"/>
      <top style="thin">
        <color rgb="FF000000"/>
      </top>
      <bottom style="thin">
        <color rgb="FF000000"/>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medium"/>
      <top style="thin">
        <color rgb="FF000000"/>
      </top>
      <bottom/>
    </border>
    <border>
      <left/>
      <right style="thin">
        <color rgb="FF000000"/>
      </right>
      <top style="thin"/>
      <bottom/>
    </border>
    <border>
      <left style="thin">
        <color rgb="FF000000"/>
      </left>
      <right style="thin">
        <color rgb="FF000000"/>
      </right>
      <top style="thin"/>
      <bottom/>
    </border>
    <border>
      <left style="thin">
        <color rgb="FF000000"/>
      </left>
      <right style="medium"/>
      <top style="thin"/>
      <bottom/>
    </border>
    <border>
      <left/>
      <right style="thin">
        <color rgb="FF000000"/>
      </right>
      <top style="medium"/>
      <bottom style="medium"/>
    </border>
    <border>
      <left style="thin">
        <color rgb="FF000000"/>
      </left>
      <right style="thin">
        <color rgb="FF000000"/>
      </right>
      <top style="medium"/>
      <bottom style="medium"/>
    </border>
    <border>
      <left style="thin">
        <color rgb="FF000000"/>
      </left>
      <right style="medium"/>
      <top style="medium"/>
      <bottom style="medium"/>
    </border>
    <border>
      <left style="thin">
        <color rgb="FF000000"/>
      </left>
      <right/>
      <top style="thin">
        <color rgb="FF000000"/>
      </top>
      <bottom/>
    </border>
    <border>
      <left style="medium"/>
      <right/>
      <top/>
      <bottom/>
    </border>
    <border>
      <left style="thin"/>
      <right style="medium"/>
      <top style="thin"/>
      <bottom/>
    </border>
    <border>
      <left style="medium"/>
      <right/>
      <top style="thin"/>
      <bottom style="medium"/>
    </border>
    <border>
      <left/>
      <right/>
      <top style="thin"/>
      <bottom style="medium"/>
    </border>
    <border>
      <left style="thin"/>
      <right style="thin"/>
      <top style="thin"/>
      <bottom style="medium"/>
    </border>
    <border>
      <left/>
      <right style="thin">
        <color rgb="FF000000"/>
      </right>
      <top style="thin">
        <color rgb="FF000000"/>
      </top>
      <bottom style="medium"/>
    </border>
    <border>
      <left style="thin"/>
      <right/>
      <top style="thin"/>
      <bottom style="medium"/>
    </border>
    <border>
      <left style="thin"/>
      <right/>
      <top style="thin"/>
      <bottom style="thin"/>
    </border>
    <border>
      <left style="thin"/>
      <right style="medium"/>
      <top style="thin"/>
      <bottom style="medium"/>
    </border>
    <border>
      <left/>
      <right style="medium"/>
      <top/>
      <bottom style="medium"/>
    </border>
    <border>
      <left/>
      <right style="medium"/>
      <top/>
      <bottom/>
    </border>
    <border>
      <left style="thin"/>
      <right/>
      <top/>
      <bottom/>
    </border>
    <border>
      <left style="thin"/>
      <right style="thin"/>
      <top/>
      <bottom/>
    </border>
    <border>
      <left/>
      <right style="medium"/>
      <top style="thin">
        <color rgb="FF000000"/>
      </top>
      <bottom style="thin">
        <color rgb="FF000000"/>
      </bottom>
    </border>
    <border>
      <left style="medium"/>
      <right style="thin"/>
      <top style="thin"/>
      <bottom style="medium"/>
    </border>
    <border>
      <left/>
      <right style="thin"/>
      <top style="thin"/>
      <bottom style="medium"/>
    </border>
    <border>
      <left style="medium"/>
      <right style="thin"/>
      <top style="medium"/>
      <bottom style="medium"/>
    </border>
    <border>
      <left/>
      <right style="thin"/>
      <top style="thin"/>
      <bottom/>
    </border>
    <border>
      <left/>
      <right style="thin"/>
      <top/>
      <bottom style="thin"/>
    </border>
    <border>
      <left/>
      <right style="medium"/>
      <top/>
      <bottom style="thin">
        <color rgb="FF000000"/>
      </bottom>
    </border>
    <border>
      <left style="medium"/>
      <right style="thin"/>
      <top/>
      <bottom/>
    </border>
    <border>
      <left style="thin"/>
      <right style="medium"/>
      <top/>
      <bottom/>
    </border>
    <border>
      <left style="medium"/>
      <right style="thin"/>
      <top/>
      <bottom style="thin"/>
    </border>
    <border>
      <left style="thin"/>
      <right style="medium"/>
      <top/>
      <bottom style="thin"/>
    </border>
    <border>
      <left style="medium"/>
      <right style="thin"/>
      <top style="thin"/>
      <bottom style="thin"/>
    </border>
    <border>
      <left style="medium"/>
      <right style="thin"/>
      <top style="thin"/>
      <bottom/>
    </border>
    <border>
      <left style="thin">
        <color rgb="FF000000"/>
      </left>
      <right style="thin">
        <color rgb="FF000000"/>
      </right>
      <top style="thin">
        <color rgb="FF000000"/>
      </top>
      <bottom style="medium"/>
    </border>
    <border>
      <left style="thin">
        <color rgb="FF000000"/>
      </left>
      <right style="medium"/>
      <top style="thin">
        <color rgb="FF000000"/>
      </top>
      <bottom style="medium"/>
    </border>
    <border>
      <left/>
      <right style="thin"/>
      <top/>
      <bottom/>
    </border>
    <border>
      <left style="medium"/>
      <right style="medium"/>
      <top style="thin">
        <color rgb="FF000000"/>
      </top>
      <bottom/>
    </border>
    <border>
      <left style="medium"/>
      <right style="thin"/>
      <top style="medium"/>
      <bottom/>
    </border>
    <border>
      <left style="thin"/>
      <right style="thin"/>
      <top style="medium"/>
      <bottom/>
    </border>
    <border>
      <left style="thin"/>
      <right style="thin">
        <color rgb="FF000000"/>
      </right>
      <top style="medium"/>
      <bottom/>
    </border>
    <border>
      <left style="thin">
        <color rgb="FF000000"/>
      </left>
      <right style="medium"/>
      <top style="medium"/>
      <bottom/>
    </border>
    <border>
      <left style="medium"/>
      <right style="medium"/>
      <top/>
      <bottom/>
    </border>
    <border>
      <left style="medium"/>
      <right style="thin">
        <color rgb="FF000000"/>
      </right>
      <top style="thin">
        <color rgb="FF000000"/>
      </top>
      <bottom style="thin">
        <color rgb="FF000000"/>
      </bottom>
    </border>
    <border>
      <left style="thin"/>
      <right style="medium"/>
      <top style="medium"/>
      <bottom/>
    </border>
    <border>
      <left style="thin">
        <color rgb="FF000000"/>
      </left>
      <right style="thin">
        <color rgb="FF000000"/>
      </right>
      <top/>
      <bottom style="thin"/>
    </border>
    <border>
      <left/>
      <right style="thin"/>
      <top style="medium"/>
      <bottom/>
    </border>
    <border>
      <left style="thin"/>
      <right style="thin"/>
      <top style="medium"/>
      <bottom style="thin"/>
    </border>
    <border>
      <left/>
      <right/>
      <top style="medium"/>
      <bottom style="thin"/>
    </border>
    <border>
      <left/>
      <right style="thin"/>
      <top style="medium"/>
      <bottom style="thin"/>
    </border>
    <border>
      <left style="thin"/>
      <right/>
      <top style="medium"/>
      <bottom style="thin"/>
    </border>
    <border>
      <left/>
      <right/>
      <top/>
      <bottom style="medium"/>
    </border>
    <border>
      <left/>
      <right style="medium"/>
      <top style="medium"/>
      <bottom/>
    </border>
    <border>
      <left style="medium"/>
      <right style="thin"/>
      <top style="medium"/>
      <bottom style="thin"/>
    </border>
    <border>
      <left style="thin"/>
      <right/>
      <top style="medium"/>
      <bottom/>
    </border>
    <border>
      <left/>
      <right/>
      <top style="medium"/>
      <bottom/>
    </border>
  </borders>
  <cellStyleXfs count="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66" fillId="20" borderId="0">
      <alignment/>
      <protection/>
    </xf>
    <xf numFmtId="0" fontId="66" fillId="0" borderId="0">
      <alignment horizontal="left" wrapText="1"/>
      <protection/>
    </xf>
    <xf numFmtId="0" fontId="67" fillId="0" borderId="0">
      <alignment horizontal="center" wrapText="1"/>
      <protection/>
    </xf>
    <xf numFmtId="0" fontId="67" fillId="0" borderId="0">
      <alignment horizontal="center"/>
      <protection/>
    </xf>
    <xf numFmtId="0" fontId="66" fillId="0" borderId="0">
      <alignment horizontal="right"/>
      <protection/>
    </xf>
    <xf numFmtId="0" fontId="66" fillId="20" borderId="1">
      <alignment/>
      <protection/>
    </xf>
    <xf numFmtId="0" fontId="66" fillId="0" borderId="2">
      <alignment horizontal="center" vertical="center" wrapText="1"/>
      <protection/>
    </xf>
    <xf numFmtId="0" fontId="66" fillId="20" borderId="3">
      <alignment/>
      <protection/>
    </xf>
    <xf numFmtId="49" fontId="66" fillId="0" borderId="2">
      <alignment horizontal="center" vertical="top" shrinkToFit="1"/>
      <protection/>
    </xf>
    <xf numFmtId="0" fontId="66" fillId="0" borderId="2">
      <alignment horizontal="center" vertical="top" wrapText="1"/>
      <protection/>
    </xf>
    <xf numFmtId="4" fontId="66" fillId="0" borderId="2">
      <alignment horizontal="right" vertical="top" shrinkToFit="1"/>
      <protection/>
    </xf>
    <xf numFmtId="10" fontId="66" fillId="0" borderId="2">
      <alignment horizontal="center" vertical="top" shrinkToFit="1"/>
      <protection/>
    </xf>
    <xf numFmtId="0" fontId="66" fillId="20" borderId="4">
      <alignment/>
      <protection/>
    </xf>
    <xf numFmtId="49" fontId="68" fillId="0" borderId="2">
      <alignment horizontal="left" vertical="top" shrinkToFit="1"/>
      <protection/>
    </xf>
    <xf numFmtId="4" fontId="68" fillId="21" borderId="2">
      <alignment horizontal="right" vertical="top" shrinkToFit="1"/>
      <protection/>
    </xf>
    <xf numFmtId="10" fontId="68" fillId="21" borderId="2">
      <alignment horizontal="center" vertical="top" shrinkToFit="1"/>
      <protection/>
    </xf>
    <xf numFmtId="0" fontId="66" fillId="0" borderId="0">
      <alignment/>
      <protection/>
    </xf>
    <xf numFmtId="0" fontId="66" fillId="20" borderId="1">
      <alignment horizontal="left"/>
      <protection/>
    </xf>
    <xf numFmtId="0" fontId="66" fillId="0" borderId="2">
      <alignment horizontal="left" vertical="top" wrapText="1"/>
      <protection/>
    </xf>
    <xf numFmtId="4" fontId="68" fillId="22" borderId="2">
      <alignment horizontal="right" vertical="top" shrinkToFit="1"/>
      <protection/>
    </xf>
    <xf numFmtId="10" fontId="68" fillId="22" borderId="2">
      <alignment horizontal="center" vertical="top" shrinkToFit="1"/>
      <protection/>
    </xf>
    <xf numFmtId="0" fontId="66" fillId="20" borderId="3">
      <alignment horizontal="left"/>
      <protection/>
    </xf>
    <xf numFmtId="0" fontId="66" fillId="20" borderId="4">
      <alignment horizontal="left"/>
      <protection/>
    </xf>
    <xf numFmtId="0" fontId="66" fillId="20" borderId="0">
      <alignment horizontal="left"/>
      <protection/>
    </xf>
    <xf numFmtId="4" fontId="69" fillId="22" borderId="2">
      <alignment horizontal="right" vertical="top" shrinkToFit="1"/>
      <protection/>
    </xf>
    <xf numFmtId="4" fontId="70" fillId="0" borderId="2">
      <alignment horizontal="right" vertical="center" shrinkToFit="1"/>
      <protection/>
    </xf>
    <xf numFmtId="4" fontId="71" fillId="0" borderId="5">
      <alignment horizontal="right" vertical="center" shrinkToFit="1"/>
      <protection/>
    </xf>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72" fillId="29" borderId="6" applyNumberFormat="0" applyAlignment="0" applyProtection="0"/>
    <xf numFmtId="0" fontId="73" fillId="30" borderId="7" applyNumberFormat="0" applyAlignment="0" applyProtection="0"/>
    <xf numFmtId="0" fontId="74" fillId="30" borderId="6"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8" applyNumberFormat="0" applyFill="0" applyAlignment="0" applyProtection="0"/>
    <xf numFmtId="0" fontId="76" fillId="0" borderId="9" applyNumberFormat="0" applyFill="0" applyAlignment="0" applyProtection="0"/>
    <xf numFmtId="0" fontId="77" fillId="0" borderId="10" applyNumberFormat="0" applyFill="0" applyAlignment="0" applyProtection="0"/>
    <xf numFmtId="0" fontId="77" fillId="0" borderId="0" applyNumberFormat="0" applyFill="0" applyBorder="0" applyAlignment="0" applyProtection="0"/>
    <xf numFmtId="0" fontId="78" fillId="0" borderId="11" applyNumberFormat="0" applyFill="0" applyAlignment="0" applyProtection="0"/>
    <xf numFmtId="0" fontId="79" fillId="31" borderId="12" applyNumberFormat="0" applyAlignment="0" applyProtection="0"/>
    <xf numFmtId="0" fontId="80" fillId="0" borderId="0" applyNumberFormat="0" applyFill="0" applyBorder="0" applyAlignment="0" applyProtection="0"/>
    <xf numFmtId="0" fontId="81" fillId="32" borderId="0" applyNumberFormat="0" applyBorder="0" applyAlignment="0" applyProtection="0"/>
    <xf numFmtId="0" fontId="82" fillId="33" borderId="0" applyNumberFormat="0" applyBorder="0" applyAlignment="0" applyProtection="0"/>
    <xf numFmtId="0" fontId="83" fillId="0" borderId="0" applyNumberFormat="0" applyFill="0" applyBorder="0" applyAlignment="0" applyProtection="0"/>
    <xf numFmtId="0" fontId="0" fillId="34" borderId="13" applyNumberFormat="0" applyFont="0" applyAlignment="0" applyProtection="0"/>
    <xf numFmtId="9" fontId="0" fillId="0" borderId="0" applyFont="0" applyFill="0" applyBorder="0" applyAlignment="0" applyProtection="0"/>
    <xf numFmtId="0" fontId="84" fillId="0" borderId="14" applyNumberFormat="0" applyFill="0" applyAlignment="0" applyProtection="0"/>
    <xf numFmtId="0" fontId="8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6" fillId="35" borderId="0" applyNumberFormat="0" applyBorder="0" applyAlignment="0" applyProtection="0"/>
  </cellStyleXfs>
  <cellXfs count="577">
    <xf numFmtId="0" fontId="0" fillId="0" borderId="0" xfId="0" applyFont="1" applyAlignment="1">
      <alignment/>
    </xf>
    <xf numFmtId="0" fontId="0" fillId="36" borderId="0" xfId="0" applyFont="1" applyFill="1" applyAlignment="1" applyProtection="1">
      <alignment horizontal="center" vertical="center"/>
      <protection locked="0"/>
    </xf>
    <xf numFmtId="0" fontId="0" fillId="36" borderId="0" xfId="0" applyFont="1" applyFill="1" applyAlignment="1" applyProtection="1">
      <alignment horizontal="left" vertical="center"/>
      <protection locked="0"/>
    </xf>
    <xf numFmtId="0" fontId="68" fillId="36" borderId="15" xfId="42" applyNumberFormat="1" applyFont="1" applyFill="1" applyBorder="1" applyAlignment="1" applyProtection="1">
      <alignment horizontal="center" vertical="center"/>
      <protection/>
    </xf>
    <xf numFmtId="0" fontId="6" fillId="36" borderId="0" xfId="0" applyFont="1" applyFill="1" applyAlignment="1" applyProtection="1">
      <alignment horizontal="center" vertical="center"/>
      <protection locked="0"/>
    </xf>
    <xf numFmtId="0" fontId="68" fillId="36" borderId="16" xfId="44" applyFont="1" applyFill="1" applyBorder="1" applyAlignment="1">
      <alignment horizontal="center" vertical="center" wrapText="1"/>
      <protection/>
    </xf>
    <xf numFmtId="0" fontId="68" fillId="36" borderId="17" xfId="44" applyFont="1" applyFill="1" applyBorder="1" applyAlignment="1">
      <alignment horizontal="center" vertical="center" wrapText="1"/>
      <protection/>
    </xf>
    <xf numFmtId="0" fontId="68" fillId="36" borderId="18" xfId="44" applyNumberFormat="1" applyFont="1" applyFill="1" applyBorder="1" applyAlignment="1" applyProtection="1">
      <alignment horizontal="center" vertical="center" wrapText="1"/>
      <protection/>
    </xf>
    <xf numFmtId="0" fontId="68" fillId="36" borderId="17" xfId="44" applyNumberFormat="1" applyFont="1" applyFill="1" applyBorder="1" applyAlignment="1" applyProtection="1">
      <alignment horizontal="center" vertical="center" wrapText="1"/>
      <protection/>
    </xf>
    <xf numFmtId="49" fontId="87" fillId="10" borderId="16" xfId="46" applyFont="1" applyFill="1" applyBorder="1" applyAlignment="1" applyProtection="1">
      <alignment horizontal="center" vertical="center" shrinkToFit="1"/>
      <protection/>
    </xf>
    <xf numFmtId="49" fontId="87" fillId="10" borderId="17" xfId="46" applyFont="1" applyFill="1" applyBorder="1" applyAlignment="1" applyProtection="1">
      <alignment horizontal="center" vertical="center" shrinkToFit="1"/>
      <protection/>
    </xf>
    <xf numFmtId="0" fontId="87" fillId="10" borderId="19" xfId="56" applyNumberFormat="1" applyFont="1" applyFill="1" applyBorder="1" applyAlignment="1" applyProtection="1">
      <alignment horizontal="left" vertical="center" wrapText="1"/>
      <protection/>
    </xf>
    <xf numFmtId="49" fontId="87" fillId="10" borderId="20" xfId="46" applyFont="1" applyFill="1" applyBorder="1" applyAlignment="1" applyProtection="1">
      <alignment horizontal="left" vertical="center"/>
      <protection/>
    </xf>
    <xf numFmtId="4" fontId="67" fillId="10" borderId="20" xfId="57" applyFont="1" applyFill="1" applyBorder="1" applyAlignment="1" applyProtection="1">
      <alignment horizontal="center" vertical="center" shrinkToFit="1"/>
      <protection/>
    </xf>
    <xf numFmtId="10" fontId="67" fillId="10" borderId="20" xfId="57" applyNumberFormat="1" applyFont="1" applyFill="1" applyBorder="1" applyAlignment="1" applyProtection="1">
      <alignment horizontal="center" vertical="center" shrinkToFit="1"/>
      <protection/>
    </xf>
    <xf numFmtId="4" fontId="68" fillId="10" borderId="21" xfId="57" applyFont="1" applyFill="1" applyBorder="1" applyAlignment="1" applyProtection="1">
      <alignment horizontal="left" vertical="top" shrinkToFit="1"/>
      <protection/>
    </xf>
    <xf numFmtId="0" fontId="6" fillId="10" borderId="0" xfId="0" applyFont="1" applyFill="1" applyAlignment="1" applyProtection="1">
      <alignment horizontal="center" vertical="center"/>
      <protection locked="0"/>
    </xf>
    <xf numFmtId="49" fontId="87" fillId="10" borderId="22" xfId="46" applyFont="1" applyFill="1" applyBorder="1" applyAlignment="1" applyProtection="1">
      <alignment horizontal="center" vertical="center" shrinkToFit="1"/>
      <protection/>
    </xf>
    <xf numFmtId="0" fontId="87" fillId="10" borderId="23" xfId="56" applyNumberFormat="1" applyFont="1" applyFill="1" applyBorder="1" applyAlignment="1" applyProtection="1">
      <alignment horizontal="left" vertical="center" wrapText="1"/>
      <protection/>
    </xf>
    <xf numFmtId="49" fontId="87" fillId="10" borderId="24" xfId="46" applyFont="1" applyFill="1" applyBorder="1" applyAlignment="1" applyProtection="1">
      <alignment horizontal="left" vertical="center"/>
      <protection/>
    </xf>
    <xf numFmtId="4" fontId="67" fillId="10" borderId="24" xfId="57" applyFont="1" applyFill="1" applyBorder="1" applyAlignment="1" applyProtection="1">
      <alignment horizontal="center" vertical="center" shrinkToFit="1"/>
      <protection/>
    </xf>
    <xf numFmtId="10" fontId="67" fillId="10" borderId="25" xfId="57" applyNumberFormat="1" applyFont="1" applyFill="1" applyBorder="1" applyAlignment="1" applyProtection="1">
      <alignment horizontal="center" vertical="center" shrinkToFit="1"/>
      <protection/>
    </xf>
    <xf numFmtId="4" fontId="67" fillId="10" borderId="25" xfId="57" applyFont="1" applyFill="1" applyBorder="1" applyAlignment="1" applyProtection="1">
      <alignment horizontal="center" vertical="center" shrinkToFit="1"/>
      <protection/>
    </xf>
    <xf numFmtId="4" fontId="68" fillId="10" borderId="26" xfId="57" applyFont="1" applyFill="1" applyBorder="1" applyAlignment="1" applyProtection="1">
      <alignment horizontal="left" vertical="top" shrinkToFit="1"/>
      <protection/>
    </xf>
    <xf numFmtId="49" fontId="87" fillId="37" borderId="16" xfId="46" applyFont="1" applyFill="1" applyBorder="1" applyAlignment="1" applyProtection="1">
      <alignment horizontal="center" vertical="center" shrinkToFit="1"/>
      <protection/>
    </xf>
    <xf numFmtId="49" fontId="87" fillId="37" borderId="22" xfId="46" applyFont="1" applyFill="1" applyBorder="1" applyAlignment="1" applyProtection="1">
      <alignment horizontal="center" vertical="center" shrinkToFit="1"/>
      <protection/>
    </xf>
    <xf numFmtId="0" fontId="87" fillId="37" borderId="27" xfId="56" applyNumberFormat="1" applyFont="1" applyFill="1" applyBorder="1" applyAlignment="1" applyProtection="1">
      <alignment horizontal="left" vertical="center" wrapText="1"/>
      <protection/>
    </xf>
    <xf numFmtId="49" fontId="87" fillId="37" borderId="28" xfId="46" applyFont="1" applyFill="1" applyBorder="1" applyAlignment="1" applyProtection="1">
      <alignment horizontal="left" vertical="center"/>
      <protection/>
    </xf>
    <xf numFmtId="4" fontId="67" fillId="37" borderId="28" xfId="57" applyFont="1" applyFill="1" applyBorder="1" applyAlignment="1" applyProtection="1">
      <alignment horizontal="center" vertical="center" shrinkToFit="1"/>
      <protection/>
    </xf>
    <xf numFmtId="10" fontId="67" fillId="37" borderId="28" xfId="57" applyNumberFormat="1" applyFont="1" applyFill="1" applyBorder="1" applyAlignment="1" applyProtection="1">
      <alignment horizontal="center" vertical="center" shrinkToFit="1"/>
      <protection/>
    </xf>
    <xf numFmtId="4" fontId="67" fillId="37" borderId="22" xfId="53" applyNumberFormat="1" applyFont="1" applyFill="1" applyBorder="1" applyAlignment="1" applyProtection="1">
      <alignment horizontal="center" vertical="center" shrinkToFit="1"/>
      <protection/>
    </xf>
    <xf numFmtId="10" fontId="66" fillId="36" borderId="22" xfId="58" applyFont="1" applyFill="1" applyBorder="1" applyAlignment="1" applyProtection="1">
      <alignment horizontal="left" vertical="top" wrapText="1" shrinkToFit="1"/>
      <protection/>
    </xf>
    <xf numFmtId="0" fontId="6" fillId="37" borderId="0" xfId="0" applyFont="1" applyFill="1" applyAlignment="1" applyProtection="1">
      <alignment horizontal="center" vertical="center"/>
      <protection locked="0"/>
    </xf>
    <xf numFmtId="49" fontId="87" fillId="37" borderId="29" xfId="46" applyFont="1" applyFill="1" applyBorder="1" applyAlignment="1" applyProtection="1">
      <alignment horizontal="center" vertical="center" shrinkToFit="1"/>
      <protection/>
    </xf>
    <xf numFmtId="0" fontId="87" fillId="37" borderId="30" xfId="56" applyNumberFormat="1" applyFont="1" applyFill="1" applyBorder="1" applyAlignment="1" applyProtection="1">
      <alignment horizontal="left" vertical="center" wrapText="1"/>
      <protection/>
    </xf>
    <xf numFmtId="49" fontId="87" fillId="37" borderId="31" xfId="46" applyFont="1" applyFill="1" applyBorder="1" applyAlignment="1" applyProtection="1">
      <alignment horizontal="left" vertical="center"/>
      <protection/>
    </xf>
    <xf numFmtId="4" fontId="67" fillId="37" borderId="31" xfId="57" applyFont="1" applyFill="1" applyBorder="1" applyAlignment="1" applyProtection="1">
      <alignment horizontal="center" vertical="center" shrinkToFit="1"/>
      <protection/>
    </xf>
    <xf numFmtId="4" fontId="67" fillId="37" borderId="29" xfId="57" applyFont="1" applyFill="1" applyBorder="1" applyAlignment="1" applyProtection="1">
      <alignment horizontal="center" vertical="center" shrinkToFit="1"/>
      <protection/>
    </xf>
    <xf numFmtId="10" fontId="67" fillId="37" borderId="31" xfId="57" applyNumberFormat="1" applyFont="1" applyFill="1" applyBorder="1" applyAlignment="1" applyProtection="1">
      <alignment horizontal="center" vertical="center" shrinkToFit="1"/>
      <protection/>
    </xf>
    <xf numFmtId="4" fontId="67" fillId="37" borderId="30" xfId="57" applyFont="1" applyFill="1" applyBorder="1" applyAlignment="1" applyProtection="1">
      <alignment horizontal="center" vertical="center" shrinkToFit="1"/>
      <protection/>
    </xf>
    <xf numFmtId="10" fontId="8" fillId="36" borderId="29" xfId="58" applyFont="1" applyFill="1" applyBorder="1" applyAlignment="1" applyProtection="1">
      <alignment horizontal="left" vertical="top" wrapText="1" shrinkToFit="1"/>
      <protection/>
    </xf>
    <xf numFmtId="0" fontId="87" fillId="37" borderId="32" xfId="56" applyNumberFormat="1" applyFont="1" applyFill="1" applyBorder="1" applyAlignment="1" applyProtection="1">
      <alignment horizontal="left" vertical="center" wrapText="1"/>
      <protection/>
    </xf>
    <xf numFmtId="4" fontId="67" fillId="37" borderId="5" xfId="57" applyFont="1" applyFill="1" applyBorder="1" applyAlignment="1" applyProtection="1">
      <alignment horizontal="center" vertical="center" shrinkToFit="1"/>
      <protection/>
    </xf>
    <xf numFmtId="43" fontId="67" fillId="37" borderId="33" xfId="90" applyFont="1" applyFill="1" applyBorder="1" applyAlignment="1" applyProtection="1">
      <alignment horizontal="center" vertical="center" shrinkToFit="1"/>
      <protection/>
    </xf>
    <xf numFmtId="10" fontId="67" fillId="37" borderId="29" xfId="57" applyNumberFormat="1" applyFont="1" applyFill="1" applyBorder="1" applyAlignment="1" applyProtection="1">
      <alignment horizontal="center" vertical="center" shrinkToFit="1"/>
      <protection/>
    </xf>
    <xf numFmtId="10" fontId="67" fillId="37" borderId="5" xfId="57" applyNumberFormat="1" applyFont="1" applyFill="1" applyBorder="1" applyAlignment="1" applyProtection="1">
      <alignment horizontal="center" vertical="center" shrinkToFit="1"/>
      <protection/>
    </xf>
    <xf numFmtId="4" fontId="67" fillId="37" borderId="32" xfId="57" applyFont="1" applyFill="1" applyBorder="1" applyAlignment="1" applyProtection="1">
      <alignment horizontal="center" vertical="center" shrinkToFit="1"/>
      <protection/>
    </xf>
    <xf numFmtId="10" fontId="68" fillId="36" borderId="34" xfId="58" applyFont="1" applyFill="1" applyBorder="1" applyAlignment="1" applyProtection="1">
      <alignment horizontal="left" vertical="top" shrinkToFit="1"/>
      <protection/>
    </xf>
    <xf numFmtId="49" fontId="87" fillId="37" borderId="17" xfId="46" applyFont="1" applyFill="1" applyBorder="1" applyAlignment="1" applyProtection="1">
      <alignment horizontal="center" vertical="center" shrinkToFit="1"/>
      <protection/>
    </xf>
    <xf numFmtId="0" fontId="87" fillId="37" borderId="35" xfId="56" applyNumberFormat="1" applyFont="1" applyFill="1" applyBorder="1" applyAlignment="1" applyProtection="1">
      <alignment horizontal="left" vertical="center" wrapText="1"/>
      <protection/>
    </xf>
    <xf numFmtId="49" fontId="87" fillId="37" borderId="2" xfId="46" applyFont="1" applyFill="1" applyBorder="1" applyAlignment="1" applyProtection="1">
      <alignment horizontal="left" vertical="center"/>
      <protection/>
    </xf>
    <xf numFmtId="4" fontId="67" fillId="37" borderId="2" xfId="57" applyFont="1" applyFill="1" applyBorder="1" applyAlignment="1" applyProtection="1">
      <alignment horizontal="center" vertical="center" shrinkToFit="1"/>
      <protection/>
    </xf>
    <xf numFmtId="43" fontId="67" fillId="37" borderId="36" xfId="90" applyFont="1" applyFill="1" applyBorder="1" applyAlignment="1" applyProtection="1">
      <alignment horizontal="center" vertical="center" shrinkToFit="1"/>
      <protection/>
    </xf>
    <xf numFmtId="10" fontId="67" fillId="37" borderId="17" xfId="57" applyNumberFormat="1" applyFont="1" applyFill="1" applyBorder="1" applyAlignment="1" applyProtection="1">
      <alignment horizontal="center" vertical="center" shrinkToFit="1"/>
      <protection/>
    </xf>
    <xf numFmtId="10" fontId="67" fillId="37" borderId="2" xfId="57" applyNumberFormat="1" applyFont="1" applyFill="1" applyBorder="1" applyAlignment="1" applyProtection="1">
      <alignment horizontal="center" vertical="center" shrinkToFit="1"/>
      <protection/>
    </xf>
    <xf numFmtId="4" fontId="67" fillId="37" borderId="35" xfId="57" applyFont="1" applyFill="1" applyBorder="1" applyAlignment="1" applyProtection="1">
      <alignment horizontal="center" vertical="center" shrinkToFit="1"/>
      <protection/>
    </xf>
    <xf numFmtId="10" fontId="68" fillId="36" borderId="37" xfId="58" applyFont="1" applyFill="1" applyBorder="1" applyAlignment="1" applyProtection="1">
      <alignment horizontal="left" vertical="top" shrinkToFit="1"/>
      <protection/>
    </xf>
    <xf numFmtId="10" fontId="66" fillId="36" borderId="37" xfId="58" applyFont="1" applyFill="1" applyBorder="1" applyAlignment="1" applyProtection="1">
      <alignment horizontal="left" vertical="top" wrapText="1" shrinkToFit="1"/>
      <protection/>
    </xf>
    <xf numFmtId="43" fontId="67" fillId="37" borderId="2" xfId="90" applyFont="1" applyFill="1" applyBorder="1" applyAlignment="1" applyProtection="1">
      <alignment horizontal="center" vertical="center" shrinkToFit="1"/>
      <protection/>
    </xf>
    <xf numFmtId="0" fontId="88" fillId="36" borderId="35" xfId="56" applyNumberFormat="1" applyFont="1" applyFill="1" applyBorder="1" applyAlignment="1" applyProtection="1">
      <alignment horizontal="left" vertical="center" wrapText="1"/>
      <protection/>
    </xf>
    <xf numFmtId="49" fontId="88" fillId="36" borderId="2" xfId="46" applyFont="1" applyFill="1" applyBorder="1" applyAlignment="1" applyProtection="1">
      <alignment horizontal="left" vertical="center"/>
      <protection/>
    </xf>
    <xf numFmtId="4" fontId="89" fillId="36" borderId="2" xfId="57" applyFont="1" applyFill="1" applyBorder="1" applyAlignment="1" applyProtection="1">
      <alignment horizontal="center" vertical="center" shrinkToFit="1"/>
      <protection/>
    </xf>
    <xf numFmtId="43" fontId="89" fillId="36" borderId="2" xfId="90" applyFont="1" applyFill="1" applyBorder="1" applyAlignment="1" applyProtection="1">
      <alignment horizontal="center" vertical="center" shrinkToFit="1"/>
      <protection/>
    </xf>
    <xf numFmtId="10" fontId="89" fillId="36" borderId="2" xfId="57" applyNumberFormat="1" applyFont="1" applyFill="1" applyBorder="1" applyAlignment="1" applyProtection="1">
      <alignment horizontal="center" vertical="center" shrinkToFit="1"/>
      <protection/>
    </xf>
    <xf numFmtId="49" fontId="88" fillId="36" borderId="16" xfId="46" applyFont="1" applyFill="1" applyBorder="1" applyAlignment="1" applyProtection="1">
      <alignment horizontal="center" vertical="center" shrinkToFit="1"/>
      <protection/>
    </xf>
    <xf numFmtId="49" fontId="88" fillId="36" borderId="17" xfId="46" applyFont="1" applyFill="1" applyBorder="1" applyAlignment="1" applyProtection="1">
      <alignment horizontal="center" vertical="center" shrinkToFit="1"/>
      <protection/>
    </xf>
    <xf numFmtId="10" fontId="66" fillId="36" borderId="37" xfId="58" applyFont="1" applyFill="1" applyBorder="1" applyAlignment="1" applyProtection="1">
      <alignment horizontal="left" vertical="top" wrapText="1" shrinkToFit="1"/>
      <protection/>
    </xf>
    <xf numFmtId="10" fontId="66" fillId="36" borderId="37" xfId="58" applyFont="1" applyFill="1" applyBorder="1" applyAlignment="1" applyProtection="1">
      <alignment horizontal="left" vertical="top" shrinkToFit="1"/>
      <protection/>
    </xf>
    <xf numFmtId="10" fontId="66" fillId="3" borderId="37" xfId="58" applyFont="1" applyFill="1" applyBorder="1" applyAlignment="1" applyProtection="1">
      <alignment horizontal="left" vertical="top" shrinkToFit="1"/>
      <protection/>
    </xf>
    <xf numFmtId="10" fontId="68" fillId="3" borderId="37" xfId="58" applyFont="1" applyFill="1" applyBorder="1" applyAlignment="1" applyProtection="1">
      <alignment horizontal="left" vertical="top" shrinkToFit="1"/>
      <protection/>
    </xf>
    <xf numFmtId="0" fontId="87" fillId="10" borderId="35" xfId="56" applyNumberFormat="1" applyFont="1" applyFill="1" applyBorder="1" applyAlignment="1" applyProtection="1">
      <alignment horizontal="left" vertical="center" wrapText="1"/>
      <protection/>
    </xf>
    <xf numFmtId="49" fontId="87" fillId="10" borderId="2" xfId="46" applyFont="1" applyFill="1" applyBorder="1" applyAlignment="1" applyProtection="1">
      <alignment horizontal="left" vertical="center"/>
      <protection/>
    </xf>
    <xf numFmtId="4" fontId="67" fillId="10" borderId="2" xfId="57" applyFont="1" applyFill="1" applyBorder="1" applyAlignment="1" applyProtection="1">
      <alignment horizontal="center" vertical="center" shrinkToFit="1"/>
      <protection/>
    </xf>
    <xf numFmtId="10" fontId="8" fillId="36" borderId="37" xfId="58" applyFont="1" applyFill="1" applyBorder="1" applyAlignment="1" applyProtection="1">
      <alignment horizontal="left" vertical="top" wrapText="1" shrinkToFit="1"/>
      <protection/>
    </xf>
    <xf numFmtId="10" fontId="8" fillId="36" borderId="37" xfId="58" applyFont="1" applyFill="1" applyBorder="1" applyAlignment="1" applyProtection="1">
      <alignment horizontal="left" vertical="top" wrapText="1" shrinkToFit="1"/>
      <protection/>
    </xf>
    <xf numFmtId="10" fontId="67" fillId="37" borderId="2" xfId="57" applyNumberFormat="1" applyFont="1" applyFill="1" applyBorder="1" applyAlignment="1" applyProtection="1">
      <alignment horizontal="center" vertical="center" shrinkToFit="1"/>
      <protection/>
    </xf>
    <xf numFmtId="49" fontId="87" fillId="36" borderId="16" xfId="46" applyFont="1" applyFill="1" applyBorder="1" applyAlignment="1" applyProtection="1">
      <alignment horizontal="center" vertical="center" shrinkToFit="1"/>
      <protection/>
    </xf>
    <xf numFmtId="49" fontId="87" fillId="36" borderId="17" xfId="46" applyFont="1" applyFill="1" applyBorder="1" applyAlignment="1" applyProtection="1">
      <alignment horizontal="center" vertical="center" shrinkToFit="1"/>
      <protection/>
    </xf>
    <xf numFmtId="4" fontId="89" fillId="36" borderId="2" xfId="57" applyFont="1" applyFill="1" applyBorder="1" applyAlignment="1" applyProtection="1">
      <alignment horizontal="center" vertical="center" shrinkToFit="1"/>
      <protection/>
    </xf>
    <xf numFmtId="4" fontId="67" fillId="36" borderId="2" xfId="57" applyFont="1" applyFill="1" applyBorder="1" applyAlignment="1" applyProtection="1">
      <alignment horizontal="center" vertical="center" shrinkToFit="1"/>
      <protection/>
    </xf>
    <xf numFmtId="10" fontId="66" fillId="36" borderId="37" xfId="58" applyFont="1" applyFill="1" applyBorder="1" applyAlignment="1" applyProtection="1">
      <alignment horizontal="left" vertical="top" shrinkToFit="1"/>
      <protection/>
    </xf>
    <xf numFmtId="10" fontId="66" fillId="3" borderId="37" xfId="58" applyFont="1" applyFill="1" applyBorder="1" applyAlignment="1" applyProtection="1">
      <alignment horizontal="left" vertical="top" wrapText="1" shrinkToFit="1"/>
      <protection/>
    </xf>
    <xf numFmtId="49" fontId="88" fillId="36" borderId="22" xfId="46" applyFont="1" applyFill="1" applyBorder="1" applyAlignment="1" applyProtection="1">
      <alignment horizontal="center" vertical="center" shrinkToFit="1"/>
      <protection/>
    </xf>
    <xf numFmtId="0" fontId="88" fillId="36" borderId="38" xfId="56" applyNumberFormat="1" applyFont="1" applyFill="1" applyBorder="1" applyAlignment="1" applyProtection="1">
      <alignment horizontal="left" vertical="center" wrapText="1"/>
      <protection/>
    </xf>
    <xf numFmtId="49" fontId="88" fillId="36" borderId="39" xfId="46" applyFont="1" applyFill="1" applyBorder="1" applyAlignment="1" applyProtection="1">
      <alignment horizontal="left" vertical="center"/>
      <protection/>
    </xf>
    <xf numFmtId="4" fontId="89" fillId="36" borderId="39" xfId="57" applyFont="1" applyFill="1" applyBorder="1" applyAlignment="1" applyProtection="1">
      <alignment horizontal="center" vertical="center" shrinkToFit="1"/>
      <protection/>
    </xf>
    <xf numFmtId="43" fontId="89" fillId="36" borderId="39" xfId="90" applyFont="1" applyFill="1" applyBorder="1" applyAlignment="1" applyProtection="1">
      <alignment horizontal="center" vertical="center" shrinkToFit="1"/>
      <protection/>
    </xf>
    <xf numFmtId="10" fontId="89" fillId="36" borderId="39" xfId="57" applyNumberFormat="1" applyFont="1" applyFill="1" applyBorder="1" applyAlignment="1" applyProtection="1">
      <alignment horizontal="center" vertical="center" shrinkToFit="1"/>
      <protection/>
    </xf>
    <xf numFmtId="10" fontId="66" fillId="36" borderId="40" xfId="58" applyFont="1" applyFill="1" applyBorder="1" applyAlignment="1" applyProtection="1">
      <alignment horizontal="left" vertical="top" wrapText="1" shrinkToFit="1"/>
      <protection/>
    </xf>
    <xf numFmtId="0" fontId="88" fillId="36" borderId="41" xfId="56" applyNumberFormat="1" applyFont="1" applyFill="1" applyBorder="1" applyAlignment="1" applyProtection="1">
      <alignment horizontal="left" vertical="center" wrapText="1"/>
      <protection/>
    </xf>
    <xf numFmtId="49" fontId="88" fillId="36" borderId="42" xfId="46" applyFont="1" applyFill="1" applyBorder="1" applyAlignment="1" applyProtection="1">
      <alignment horizontal="left" vertical="center"/>
      <protection/>
    </xf>
    <xf numFmtId="4" fontId="89" fillId="36" borderId="42" xfId="57" applyFont="1" applyFill="1" applyBorder="1" applyAlignment="1" applyProtection="1">
      <alignment horizontal="center" vertical="center" shrinkToFit="1"/>
      <protection/>
    </xf>
    <xf numFmtId="43" fontId="89" fillId="36" borderId="42" xfId="90" applyFont="1" applyFill="1" applyBorder="1" applyAlignment="1" applyProtection="1">
      <alignment horizontal="center" vertical="center" shrinkToFit="1"/>
      <protection/>
    </xf>
    <xf numFmtId="10" fontId="89" fillId="36" borderId="42" xfId="57" applyNumberFormat="1" applyFont="1" applyFill="1" applyBorder="1" applyAlignment="1" applyProtection="1">
      <alignment horizontal="center" vertical="center" shrinkToFit="1"/>
      <protection/>
    </xf>
    <xf numFmtId="10" fontId="66" fillId="36" borderId="43" xfId="58" applyFont="1" applyFill="1" applyBorder="1" applyAlignment="1" applyProtection="1">
      <alignment horizontal="left" vertical="top" wrapText="1" shrinkToFit="1"/>
      <protection/>
    </xf>
    <xf numFmtId="0" fontId="87" fillId="10" borderId="44" xfId="56" applyNumberFormat="1" applyFont="1" applyFill="1" applyBorder="1" applyAlignment="1" applyProtection="1">
      <alignment horizontal="left" vertical="center" wrapText="1"/>
      <protection/>
    </xf>
    <xf numFmtId="49" fontId="87" fillId="10" borderId="45" xfId="46" applyFont="1" applyFill="1" applyBorder="1" applyAlignment="1" applyProtection="1">
      <alignment horizontal="left" vertical="center"/>
      <protection/>
    </xf>
    <xf numFmtId="43" fontId="67" fillId="10" borderId="45" xfId="90" applyFont="1" applyFill="1" applyBorder="1" applyAlignment="1" applyProtection="1">
      <alignment horizontal="center" vertical="center" shrinkToFit="1"/>
      <protection/>
    </xf>
    <xf numFmtId="10" fontId="67" fillId="10" borderId="45" xfId="57" applyNumberFormat="1" applyFont="1" applyFill="1" applyBorder="1" applyAlignment="1" applyProtection="1">
      <alignment horizontal="center" vertical="center" shrinkToFit="1"/>
      <protection/>
    </xf>
    <xf numFmtId="4" fontId="67" fillId="10" borderId="45" xfId="57" applyFont="1" applyFill="1" applyBorder="1" applyAlignment="1" applyProtection="1">
      <alignment horizontal="center" vertical="center" shrinkToFit="1"/>
      <protection/>
    </xf>
    <xf numFmtId="4" fontId="90" fillId="10" borderId="45" xfId="57" applyFont="1" applyFill="1" applyBorder="1" applyAlignment="1" applyProtection="1">
      <alignment horizontal="center" vertical="center" shrinkToFit="1"/>
      <protection/>
    </xf>
    <xf numFmtId="10" fontId="68" fillId="10" borderId="46" xfId="58" applyFont="1" applyFill="1" applyBorder="1" applyAlignment="1" applyProtection="1">
      <alignment horizontal="left" vertical="center" shrinkToFit="1"/>
      <protection/>
    </xf>
    <xf numFmtId="0" fontId="88" fillId="36" borderId="32" xfId="56" applyNumberFormat="1" applyFont="1" applyFill="1" applyBorder="1" applyAlignment="1" applyProtection="1">
      <alignment horizontal="left" vertical="center" wrapText="1"/>
      <protection/>
    </xf>
    <xf numFmtId="49" fontId="88" fillId="36" borderId="5" xfId="46" applyFont="1" applyFill="1" applyBorder="1" applyAlignment="1" applyProtection="1">
      <alignment horizontal="left" vertical="center"/>
      <protection/>
    </xf>
    <xf numFmtId="4" fontId="89" fillId="36" borderId="5" xfId="57" applyFont="1" applyFill="1" applyBorder="1" applyAlignment="1" applyProtection="1">
      <alignment horizontal="center" vertical="center" shrinkToFit="1"/>
      <protection/>
    </xf>
    <xf numFmtId="43" fontId="89" fillId="36" borderId="5" xfId="90" applyFont="1" applyFill="1" applyBorder="1" applyAlignment="1" applyProtection="1">
      <alignment horizontal="center" vertical="center" shrinkToFit="1"/>
      <protection/>
    </xf>
    <xf numFmtId="10" fontId="89" fillId="36" borderId="5" xfId="57" applyNumberFormat="1" applyFont="1" applyFill="1" applyBorder="1" applyAlignment="1" applyProtection="1">
      <alignment horizontal="center" vertical="center" shrinkToFit="1"/>
      <protection/>
    </xf>
    <xf numFmtId="4" fontId="91" fillId="36" borderId="5" xfId="57" applyFont="1" applyFill="1" applyBorder="1" applyAlignment="1" applyProtection="1">
      <alignment horizontal="center" vertical="center" shrinkToFit="1"/>
      <protection/>
    </xf>
    <xf numFmtId="10" fontId="66" fillId="36" borderId="34" xfId="58" applyFont="1" applyFill="1" applyBorder="1" applyAlignment="1" applyProtection="1">
      <alignment horizontal="left" vertical="center" wrapText="1" shrinkToFit="1"/>
      <protection/>
    </xf>
    <xf numFmtId="10" fontId="66" fillId="36" borderId="37" xfId="58" applyFont="1" applyFill="1" applyBorder="1" applyAlignment="1" applyProtection="1">
      <alignment horizontal="left" vertical="center" shrinkToFit="1"/>
      <protection/>
    </xf>
    <xf numFmtId="164" fontId="89" fillId="36" borderId="2" xfId="90" applyNumberFormat="1" applyFont="1" applyFill="1" applyBorder="1" applyAlignment="1" applyProtection="1">
      <alignment horizontal="center" vertical="center" shrinkToFit="1"/>
      <protection/>
    </xf>
    <xf numFmtId="43" fontId="67" fillId="3" borderId="17" xfId="90" applyFont="1" applyFill="1" applyBorder="1" applyAlignment="1" applyProtection="1">
      <alignment horizontal="center" vertical="center" shrinkToFit="1"/>
      <protection/>
    </xf>
    <xf numFmtId="10" fontId="67" fillId="3" borderId="38" xfId="57" applyNumberFormat="1" applyFont="1" applyFill="1" applyBorder="1" applyAlignment="1" applyProtection="1">
      <alignment horizontal="center" vertical="center" shrinkToFit="1"/>
      <protection/>
    </xf>
    <xf numFmtId="4" fontId="67" fillId="3" borderId="47" xfId="52" applyFont="1" applyFill="1" applyBorder="1" applyAlignment="1" applyProtection="1">
      <alignment horizontal="center" vertical="center" shrinkToFit="1"/>
      <protection/>
    </xf>
    <xf numFmtId="4" fontId="91" fillId="3" borderId="5" xfId="57" applyFont="1" applyFill="1" applyBorder="1" applyAlignment="1" applyProtection="1">
      <alignment horizontal="center" vertical="center" shrinkToFit="1"/>
      <protection/>
    </xf>
    <xf numFmtId="4" fontId="67" fillId="3" borderId="17" xfId="52" applyFont="1" applyFill="1" applyBorder="1" applyAlignment="1" applyProtection="1">
      <alignment horizontal="center" vertical="center" shrinkToFit="1"/>
      <protection/>
    </xf>
    <xf numFmtId="4" fontId="67" fillId="3" borderId="39" xfId="57" applyFont="1" applyFill="1" applyBorder="1" applyAlignment="1" applyProtection="1">
      <alignment horizontal="center" vertical="center" shrinkToFit="1"/>
      <protection/>
    </xf>
    <xf numFmtId="10" fontId="68" fillId="3" borderId="40" xfId="53" applyFont="1" applyFill="1" applyBorder="1" applyAlignment="1" applyProtection="1">
      <alignment horizontal="left" vertical="center" shrinkToFit="1"/>
      <protection/>
    </xf>
    <xf numFmtId="0" fontId="6" fillId="3" borderId="0" xfId="0" applyFont="1" applyFill="1" applyAlignment="1" applyProtection="1">
      <alignment horizontal="center" vertical="center"/>
      <protection locked="0"/>
    </xf>
    <xf numFmtId="0" fontId="88" fillId="38" borderId="48" xfId="54" applyNumberFormat="1" applyFont="1" applyFill="1" applyBorder="1" applyAlignment="1" applyProtection="1">
      <alignment horizontal="center" vertical="center"/>
      <protection/>
    </xf>
    <xf numFmtId="0" fontId="88" fillId="38" borderId="17" xfId="54" applyNumberFormat="1" applyFont="1" applyFill="1" applyBorder="1" applyAlignment="1" applyProtection="1">
      <alignment horizontal="center" vertical="center"/>
      <protection/>
    </xf>
    <xf numFmtId="0" fontId="87" fillId="38" borderId="22" xfId="54" applyNumberFormat="1" applyFont="1" applyFill="1" applyBorder="1" applyAlignment="1" applyProtection="1">
      <alignment horizontal="left" vertical="center"/>
      <protection/>
    </xf>
    <xf numFmtId="0" fontId="88" fillId="38" borderId="22" xfId="54" applyNumberFormat="1" applyFont="1" applyFill="1" applyBorder="1" applyAlignment="1" applyProtection="1">
      <alignment horizontal="center" vertical="center"/>
      <protection/>
    </xf>
    <xf numFmtId="43" fontId="89" fillId="38" borderId="17" xfId="90" applyFont="1" applyFill="1" applyBorder="1" applyAlignment="1" applyProtection="1">
      <alignment horizontal="center" vertical="center"/>
      <protection/>
    </xf>
    <xf numFmtId="43" fontId="12" fillId="38" borderId="17" xfId="90" applyFont="1" applyFill="1" applyBorder="1" applyAlignment="1" applyProtection="1">
      <alignment horizontal="center" vertical="center"/>
      <protection locked="0"/>
    </xf>
    <xf numFmtId="10" fontId="67" fillId="38" borderId="38" xfId="57" applyNumberFormat="1" applyFont="1" applyFill="1" applyBorder="1" applyAlignment="1" applyProtection="1">
      <alignment horizontal="center" vertical="center" shrinkToFit="1"/>
      <protection/>
    </xf>
    <xf numFmtId="43" fontId="89" fillId="38" borderId="28" xfId="90" applyFont="1" applyFill="1" applyBorder="1" applyAlignment="1" applyProtection="1">
      <alignment horizontal="center" vertical="center"/>
      <protection/>
    </xf>
    <xf numFmtId="0" fontId="12" fillId="38" borderId="22" xfId="0" applyFont="1" applyFill="1" applyBorder="1" applyAlignment="1" applyProtection="1">
      <alignment horizontal="center" vertical="center"/>
      <protection locked="0"/>
    </xf>
    <xf numFmtId="0" fontId="0" fillId="38" borderId="49" xfId="0" applyFont="1" applyFill="1" applyBorder="1" applyAlignment="1" applyProtection="1">
      <alignment horizontal="left" vertical="center"/>
      <protection locked="0"/>
    </xf>
    <xf numFmtId="0" fontId="0" fillId="38" borderId="0" xfId="0" applyFont="1" applyFill="1" applyAlignment="1" applyProtection="1">
      <alignment horizontal="center" vertical="center"/>
      <protection locked="0"/>
    </xf>
    <xf numFmtId="0" fontId="68" fillId="3" borderId="50" xfId="39" applyNumberFormat="1" applyFont="1" applyFill="1" applyBorder="1" applyAlignment="1" applyProtection="1">
      <alignment vertical="center" wrapText="1"/>
      <protection/>
    </xf>
    <xf numFmtId="0" fontId="68" fillId="3" borderId="51" xfId="39" applyNumberFormat="1" applyFont="1" applyFill="1" applyBorder="1" applyAlignment="1" applyProtection="1">
      <alignment vertical="center" wrapText="1"/>
      <protection/>
    </xf>
    <xf numFmtId="43" fontId="13" fillId="3" borderId="52" xfId="0" applyNumberFormat="1" applyFont="1" applyFill="1" applyBorder="1" applyAlignment="1" applyProtection="1">
      <alignment horizontal="center" vertical="center"/>
      <protection locked="0"/>
    </xf>
    <xf numFmtId="10" fontId="67" fillId="3" borderId="53" xfId="57" applyNumberFormat="1" applyFont="1" applyFill="1" applyBorder="1" applyAlignment="1" applyProtection="1">
      <alignment horizontal="center" vertical="center" shrinkToFit="1"/>
      <protection/>
    </xf>
    <xf numFmtId="4" fontId="67" fillId="3" borderId="54" xfId="39" applyNumberFormat="1" applyFont="1" applyFill="1" applyBorder="1" applyAlignment="1" applyProtection="1">
      <alignment horizontal="center" vertical="center" wrapText="1"/>
      <protection/>
    </xf>
    <xf numFmtId="4" fontId="90" fillId="3" borderId="55" xfId="39" applyNumberFormat="1" applyFont="1" applyFill="1" applyBorder="1" applyAlignment="1" applyProtection="1">
      <alignment horizontal="center" vertical="center" wrapText="1"/>
      <protection/>
    </xf>
    <xf numFmtId="4" fontId="67" fillId="3" borderId="17" xfId="39" applyNumberFormat="1" applyFont="1" applyFill="1" applyBorder="1" applyAlignment="1" applyProtection="1">
      <alignment horizontal="center" vertical="center" wrapText="1"/>
      <protection/>
    </xf>
    <xf numFmtId="4" fontId="90" fillId="3" borderId="17" xfId="39" applyNumberFormat="1" applyFont="1" applyFill="1" applyBorder="1" applyAlignment="1" applyProtection="1">
      <alignment horizontal="center" vertical="center" wrapText="1"/>
      <protection/>
    </xf>
    <xf numFmtId="0" fontId="6" fillId="3" borderId="56" xfId="0" applyFont="1" applyFill="1" applyBorder="1" applyAlignment="1" applyProtection="1">
      <alignment horizontal="left" vertical="center"/>
      <protection locked="0"/>
    </xf>
    <xf numFmtId="4" fontId="0" fillId="36" borderId="0" xfId="0" applyNumberFormat="1" applyFont="1" applyFill="1" applyAlignment="1" applyProtection="1">
      <alignment horizontal="center" vertical="center"/>
      <protection locked="0"/>
    </xf>
    <xf numFmtId="0" fontId="68" fillId="36" borderId="17" xfId="44" applyNumberFormat="1" applyFont="1" applyFill="1" applyBorder="1" applyAlignment="1" applyProtection="1">
      <alignment horizontal="center" vertical="center" wrapText="1"/>
      <protection/>
    </xf>
    <xf numFmtId="4" fontId="67" fillId="37" borderId="22" xfId="57" applyFont="1" applyFill="1" applyBorder="1" applyAlignment="1" applyProtection="1">
      <alignment horizontal="center" vertical="center" shrinkToFit="1"/>
      <protection/>
    </xf>
    <xf numFmtId="4" fontId="67" fillId="37" borderId="29" xfId="57" applyFont="1" applyFill="1" applyBorder="1" applyAlignment="1" applyProtection="1">
      <alignment horizontal="center" vertical="center" shrinkToFit="1"/>
      <protection/>
    </xf>
    <xf numFmtId="49" fontId="87" fillId="37" borderId="33" xfId="46" applyFont="1" applyFill="1" applyBorder="1" applyAlignment="1" applyProtection="1">
      <alignment horizontal="left" vertical="center"/>
      <protection/>
    </xf>
    <xf numFmtId="49" fontId="87" fillId="37" borderId="36" xfId="46" applyFont="1" applyFill="1" applyBorder="1" applyAlignment="1" applyProtection="1">
      <alignment horizontal="left" vertical="center"/>
      <protection/>
    </xf>
    <xf numFmtId="43" fontId="67" fillId="37" borderId="22" xfId="90" applyFont="1" applyFill="1" applyBorder="1" applyAlignment="1" applyProtection="1">
      <alignment horizontal="center" vertical="center" shrinkToFit="1"/>
      <protection/>
    </xf>
    <xf numFmtId="43" fontId="67" fillId="37" borderId="29" xfId="90" applyFont="1" applyFill="1" applyBorder="1" applyAlignment="1" applyProtection="1">
      <alignment horizontal="center" vertical="center" shrinkToFit="1"/>
      <protection/>
    </xf>
    <xf numFmtId="0" fontId="68" fillId="36" borderId="16" xfId="44" applyFont="1" applyFill="1" applyBorder="1" applyAlignment="1">
      <alignment horizontal="center" vertical="center" wrapText="1"/>
      <protection/>
    </xf>
    <xf numFmtId="0" fontId="68" fillId="36" borderId="17" xfId="44" applyNumberFormat="1" applyFont="1" applyFill="1" applyBorder="1" applyAlignment="1" applyProtection="1">
      <alignment horizontal="center" vertical="center" wrapText="1"/>
      <protection/>
    </xf>
    <xf numFmtId="49" fontId="66" fillId="36" borderId="22" xfId="58" applyNumberFormat="1" applyFont="1" applyFill="1" applyBorder="1" applyAlignment="1" applyProtection="1">
      <alignment horizontal="left" vertical="top" wrapText="1" shrinkToFit="1"/>
      <protection/>
    </xf>
    <xf numFmtId="0" fontId="68" fillId="36" borderId="16" xfId="44" applyFont="1" applyFill="1" applyBorder="1" applyAlignment="1">
      <alignment horizontal="center" vertical="center" wrapText="1"/>
      <protection/>
    </xf>
    <xf numFmtId="0" fontId="68" fillId="36" borderId="17" xfId="44" applyNumberFormat="1" applyFont="1" applyFill="1" applyBorder="1" applyAlignment="1" applyProtection="1">
      <alignment horizontal="center" vertical="center" wrapText="1"/>
      <protection/>
    </xf>
    <xf numFmtId="0" fontId="68" fillId="36" borderId="16" xfId="44" applyFont="1" applyFill="1" applyBorder="1" applyAlignment="1">
      <alignment horizontal="center" vertical="center" wrapText="1"/>
      <protection/>
    </xf>
    <xf numFmtId="0" fontId="68" fillId="36" borderId="17" xfId="44" applyNumberFormat="1" applyFont="1" applyFill="1" applyBorder="1" applyAlignment="1" applyProtection="1">
      <alignment horizontal="center" vertical="center" wrapText="1"/>
      <protection/>
    </xf>
    <xf numFmtId="0" fontId="68" fillId="36" borderId="16" xfId="44" applyFont="1" applyFill="1" applyBorder="1" applyAlignment="1">
      <alignment horizontal="center" vertical="center" wrapText="1"/>
      <protection/>
    </xf>
    <xf numFmtId="0" fontId="68" fillId="36" borderId="17" xfId="44" applyNumberFormat="1" applyFont="1" applyFill="1" applyBorder="1" applyAlignment="1" applyProtection="1">
      <alignment horizontal="center" vertical="center" wrapText="1"/>
      <protection/>
    </xf>
    <xf numFmtId="10" fontId="67" fillId="10" borderId="2" xfId="57" applyNumberFormat="1" applyFont="1" applyFill="1" applyBorder="1" applyAlignment="1" applyProtection="1">
      <alignment horizontal="center" vertical="center" shrinkToFit="1"/>
      <protection/>
    </xf>
    <xf numFmtId="0" fontId="68" fillId="36" borderId="16" xfId="44" applyFont="1" applyFill="1" applyBorder="1" applyAlignment="1">
      <alignment horizontal="center" vertical="center" wrapText="1"/>
      <protection/>
    </xf>
    <xf numFmtId="0" fontId="68" fillId="36" borderId="17" xfId="44" applyNumberFormat="1" applyFont="1" applyFill="1" applyBorder="1" applyAlignment="1" applyProtection="1">
      <alignment horizontal="center" vertical="center" wrapText="1"/>
      <protection/>
    </xf>
    <xf numFmtId="49" fontId="92" fillId="10" borderId="16" xfId="46" applyFont="1" applyFill="1" applyBorder="1" applyAlignment="1" applyProtection="1">
      <alignment horizontal="center" vertical="center" shrinkToFit="1"/>
      <protection/>
    </xf>
    <xf numFmtId="0" fontId="22" fillId="10" borderId="0" xfId="0" applyFont="1" applyFill="1" applyAlignment="1" applyProtection="1">
      <alignment horizontal="center" vertical="center"/>
      <protection locked="0"/>
    </xf>
    <xf numFmtId="49" fontId="92" fillId="10" borderId="45" xfId="46" applyFont="1" applyFill="1" applyBorder="1" applyAlignment="1" applyProtection="1">
      <alignment horizontal="left" vertical="center"/>
      <protection/>
    </xf>
    <xf numFmtId="4" fontId="92" fillId="10" borderId="45" xfId="57" applyFont="1" applyFill="1" applyBorder="1" applyAlignment="1" applyProtection="1">
      <alignment horizontal="center" vertical="center" shrinkToFit="1"/>
      <protection/>
    </xf>
    <xf numFmtId="0" fontId="20" fillId="0" borderId="0" xfId="0" applyFont="1" applyFill="1" applyAlignment="1" applyProtection="1">
      <alignment horizontal="center" vertical="center"/>
      <protection locked="0"/>
    </xf>
    <xf numFmtId="0" fontId="20" fillId="0" borderId="0" xfId="0" applyFont="1" applyFill="1" applyAlignment="1" applyProtection="1">
      <alignment horizontal="left" vertical="center"/>
      <protection locked="0"/>
    </xf>
    <xf numFmtId="0" fontId="92" fillId="0" borderId="15" xfId="42" applyNumberFormat="1" applyFont="1" applyFill="1" applyBorder="1" applyAlignment="1" applyProtection="1">
      <alignment horizontal="center" vertical="center"/>
      <protection/>
    </xf>
    <xf numFmtId="0" fontId="22" fillId="0" borderId="0" xfId="0" applyFont="1" applyFill="1" applyAlignment="1" applyProtection="1">
      <alignment horizontal="center" vertical="center"/>
      <protection locked="0"/>
    </xf>
    <xf numFmtId="0" fontId="93" fillId="0" borderId="35" xfId="56" applyNumberFormat="1" applyFont="1" applyFill="1" applyBorder="1" applyAlignment="1" applyProtection="1">
      <alignment horizontal="left" vertical="center" wrapText="1"/>
      <protection/>
    </xf>
    <xf numFmtId="49" fontId="93" fillId="0" borderId="2" xfId="46" applyFont="1" applyFill="1" applyBorder="1" applyAlignment="1" applyProtection="1">
      <alignment horizontal="left" vertical="center"/>
      <protection/>
    </xf>
    <xf numFmtId="4" fontId="93" fillId="0" borderId="2" xfId="57" applyFont="1" applyFill="1" applyBorder="1" applyAlignment="1" applyProtection="1">
      <alignment horizontal="center" vertical="center" shrinkToFit="1"/>
      <protection/>
    </xf>
    <xf numFmtId="43" fontId="93" fillId="0" borderId="2" xfId="90" applyFont="1" applyFill="1" applyBorder="1" applyAlignment="1" applyProtection="1">
      <alignment horizontal="center" vertical="center" shrinkToFit="1"/>
      <protection/>
    </xf>
    <xf numFmtId="10" fontId="93" fillId="0" borderId="2" xfId="57" applyNumberFormat="1" applyFont="1" applyFill="1" applyBorder="1" applyAlignment="1" applyProtection="1">
      <alignment horizontal="center" vertical="center" shrinkToFit="1"/>
      <protection/>
    </xf>
    <xf numFmtId="49" fontId="93" fillId="0" borderId="16" xfId="46" applyFont="1" applyFill="1" applyBorder="1" applyAlignment="1" applyProtection="1">
      <alignment horizontal="center" vertical="center" shrinkToFit="1"/>
      <protection/>
    </xf>
    <xf numFmtId="49" fontId="93" fillId="0" borderId="17" xfId="46" applyFont="1" applyFill="1" applyBorder="1" applyAlignment="1" applyProtection="1">
      <alignment horizontal="center" vertical="center" shrinkToFit="1"/>
      <protection/>
    </xf>
    <xf numFmtId="10" fontId="93" fillId="0" borderId="37" xfId="58" applyFont="1" applyFill="1" applyBorder="1" applyAlignment="1" applyProtection="1">
      <alignment horizontal="left" vertical="top" wrapText="1" shrinkToFit="1"/>
      <protection/>
    </xf>
    <xf numFmtId="10" fontId="93" fillId="0" borderId="37" xfId="58" applyFont="1" applyFill="1" applyBorder="1" applyAlignment="1" applyProtection="1">
      <alignment horizontal="left" vertical="top" shrinkToFit="1"/>
      <protection/>
    </xf>
    <xf numFmtId="4" fontId="93" fillId="0" borderId="2" xfId="57" applyFont="1" applyFill="1" applyBorder="1" applyAlignment="1" applyProtection="1">
      <alignment horizontal="center" vertical="center" shrinkToFit="1"/>
      <protection/>
    </xf>
    <xf numFmtId="10" fontId="93" fillId="0" borderId="37" xfId="58" applyFont="1" applyFill="1" applyBorder="1" applyAlignment="1" applyProtection="1">
      <alignment horizontal="left" vertical="top" shrinkToFit="1"/>
      <protection/>
    </xf>
    <xf numFmtId="49" fontId="93" fillId="0" borderId="22" xfId="46" applyFont="1" applyFill="1" applyBorder="1" applyAlignment="1" applyProtection="1">
      <alignment horizontal="center" vertical="center" shrinkToFit="1"/>
      <protection/>
    </xf>
    <xf numFmtId="0" fontId="93" fillId="0" borderId="38" xfId="56" applyNumberFormat="1" applyFont="1" applyFill="1" applyBorder="1" applyAlignment="1" applyProtection="1">
      <alignment horizontal="left" vertical="center" wrapText="1"/>
      <protection/>
    </xf>
    <xf numFmtId="49" fontId="93" fillId="0" borderId="39" xfId="46" applyFont="1" applyFill="1" applyBorder="1" applyAlignment="1" applyProtection="1">
      <alignment horizontal="left" vertical="center"/>
      <protection/>
    </xf>
    <xf numFmtId="4" fontId="93" fillId="0" borderId="39" xfId="57" applyFont="1" applyFill="1" applyBorder="1" applyAlignment="1" applyProtection="1">
      <alignment horizontal="center" vertical="center" shrinkToFit="1"/>
      <protection/>
    </xf>
    <xf numFmtId="43" fontId="93" fillId="0" borderId="39" xfId="90" applyFont="1" applyFill="1" applyBorder="1" applyAlignment="1" applyProtection="1">
      <alignment horizontal="center" vertical="center" shrinkToFit="1"/>
      <protection/>
    </xf>
    <xf numFmtId="10" fontId="93" fillId="0" borderId="39" xfId="57" applyNumberFormat="1" applyFont="1" applyFill="1" applyBorder="1" applyAlignment="1" applyProtection="1">
      <alignment horizontal="center" vertical="center" shrinkToFit="1"/>
      <protection/>
    </xf>
    <xf numFmtId="10" fontId="93" fillId="0" borderId="40" xfId="58" applyFont="1" applyFill="1" applyBorder="1" applyAlignment="1" applyProtection="1">
      <alignment horizontal="left" vertical="top" wrapText="1" shrinkToFit="1"/>
      <protection/>
    </xf>
    <xf numFmtId="0" fontId="93" fillId="0" borderId="41" xfId="56" applyNumberFormat="1" applyFont="1" applyFill="1" applyBorder="1" applyAlignment="1" applyProtection="1">
      <alignment horizontal="left" vertical="center" wrapText="1"/>
      <protection/>
    </xf>
    <xf numFmtId="49" fontId="93" fillId="0" borderId="42" xfId="46" applyFont="1" applyFill="1" applyBorder="1" applyAlignment="1" applyProtection="1">
      <alignment horizontal="left" vertical="center"/>
      <protection/>
    </xf>
    <xf numFmtId="4" fontId="93" fillId="0" borderId="42" xfId="57" applyFont="1" applyFill="1" applyBorder="1" applyAlignment="1" applyProtection="1">
      <alignment horizontal="center" vertical="center" shrinkToFit="1"/>
      <protection/>
    </xf>
    <xf numFmtId="43" fontId="93" fillId="0" borderId="42" xfId="90" applyFont="1" applyFill="1" applyBorder="1" applyAlignment="1" applyProtection="1">
      <alignment horizontal="center" vertical="center" shrinkToFit="1"/>
      <protection/>
    </xf>
    <xf numFmtId="10" fontId="93" fillId="0" borderId="42" xfId="57" applyNumberFormat="1" applyFont="1" applyFill="1" applyBorder="1" applyAlignment="1" applyProtection="1">
      <alignment horizontal="center" vertical="center" shrinkToFit="1"/>
      <protection/>
    </xf>
    <xf numFmtId="10" fontId="93" fillId="0" borderId="43" xfId="58" applyFont="1" applyFill="1" applyBorder="1" applyAlignment="1" applyProtection="1">
      <alignment horizontal="left" vertical="top" wrapText="1" shrinkToFit="1"/>
      <protection/>
    </xf>
    <xf numFmtId="0" fontId="93" fillId="0" borderId="32" xfId="56" applyNumberFormat="1" applyFont="1" applyFill="1" applyBorder="1" applyAlignment="1" applyProtection="1">
      <alignment horizontal="left" vertical="center" wrapText="1"/>
      <protection/>
    </xf>
    <xf numFmtId="49" fontId="93" fillId="0" borderId="5" xfId="46" applyFont="1" applyFill="1" applyBorder="1" applyAlignment="1" applyProtection="1">
      <alignment horizontal="left" vertical="center"/>
      <protection/>
    </xf>
    <xf numFmtId="4" fontId="93" fillId="0" borderId="5" xfId="57" applyFont="1" applyFill="1" applyBorder="1" applyAlignment="1" applyProtection="1">
      <alignment horizontal="center" vertical="center" shrinkToFit="1"/>
      <protection/>
    </xf>
    <xf numFmtId="43" fontId="93" fillId="0" borderId="5" xfId="90" applyFont="1" applyFill="1" applyBorder="1" applyAlignment="1" applyProtection="1">
      <alignment horizontal="center" vertical="center" shrinkToFit="1"/>
      <protection/>
    </xf>
    <xf numFmtId="10" fontId="93" fillId="0" borderId="5" xfId="57" applyNumberFormat="1" applyFont="1" applyFill="1" applyBorder="1" applyAlignment="1" applyProtection="1">
      <alignment horizontal="center" vertical="center" shrinkToFit="1"/>
      <protection/>
    </xf>
    <xf numFmtId="4" fontId="94" fillId="0" borderId="5" xfId="57" applyFont="1" applyFill="1" applyBorder="1" applyAlignment="1" applyProtection="1">
      <alignment horizontal="center" vertical="center" shrinkToFit="1"/>
      <protection/>
    </xf>
    <xf numFmtId="10" fontId="93" fillId="0" borderId="34" xfId="58" applyFont="1" applyFill="1" applyBorder="1" applyAlignment="1" applyProtection="1">
      <alignment horizontal="left" vertical="center" wrapText="1" shrinkToFit="1"/>
      <protection/>
    </xf>
    <xf numFmtId="10" fontId="93" fillId="0" borderId="37" xfId="58" applyFont="1" applyFill="1" applyBorder="1" applyAlignment="1" applyProtection="1">
      <alignment horizontal="left" vertical="center" shrinkToFit="1"/>
      <protection/>
    </xf>
    <xf numFmtId="164" fontId="93" fillId="0" borderId="2" xfId="90" applyNumberFormat="1" applyFont="1" applyFill="1" applyBorder="1" applyAlignment="1" applyProtection="1">
      <alignment horizontal="center" vertical="center" shrinkToFit="1"/>
      <protection/>
    </xf>
    <xf numFmtId="0" fontId="93" fillId="0" borderId="48" xfId="54" applyNumberFormat="1" applyFont="1" applyFill="1" applyBorder="1" applyAlignment="1" applyProtection="1">
      <alignment horizontal="center" vertical="center"/>
      <protection/>
    </xf>
    <xf numFmtId="0" fontId="93" fillId="0" borderId="17" xfId="54" applyNumberFormat="1" applyFont="1" applyFill="1" applyBorder="1" applyAlignment="1" applyProtection="1">
      <alignment horizontal="center" vertical="center"/>
      <protection/>
    </xf>
    <xf numFmtId="0" fontId="93" fillId="0" borderId="22" xfId="54" applyNumberFormat="1" applyFont="1" applyFill="1" applyBorder="1" applyAlignment="1" applyProtection="1">
      <alignment horizontal="center" vertical="center"/>
      <protection/>
    </xf>
    <xf numFmtId="43" fontId="93" fillId="0" borderId="17" xfId="90" applyFont="1" applyFill="1" applyBorder="1" applyAlignment="1" applyProtection="1">
      <alignment horizontal="center" vertical="center"/>
      <protection/>
    </xf>
    <xf numFmtId="43" fontId="20" fillId="0" borderId="17" xfId="90" applyFont="1" applyFill="1" applyBorder="1" applyAlignment="1" applyProtection="1">
      <alignment horizontal="center" vertical="center"/>
      <protection locked="0"/>
    </xf>
    <xf numFmtId="43" fontId="93" fillId="0" borderId="28" xfId="90" applyFont="1" applyFill="1" applyBorder="1" applyAlignment="1" applyProtection="1">
      <alignment horizontal="center" vertical="center"/>
      <protection/>
    </xf>
    <xf numFmtId="0" fontId="20" fillId="0" borderId="22" xfId="0" applyFont="1" applyFill="1" applyBorder="1" applyAlignment="1" applyProtection="1">
      <alignment horizontal="center" vertical="center"/>
      <protection locked="0"/>
    </xf>
    <xf numFmtId="0" fontId="20" fillId="0" borderId="49" xfId="0" applyFont="1" applyFill="1" applyBorder="1" applyAlignment="1" applyProtection="1">
      <alignment horizontal="left" vertical="center"/>
      <protection locked="0"/>
    </xf>
    <xf numFmtId="4" fontId="20" fillId="0" borderId="0" xfId="0" applyNumberFormat="1" applyFont="1" applyFill="1" applyAlignment="1" applyProtection="1">
      <alignment horizontal="center" vertical="center"/>
      <protection locked="0"/>
    </xf>
    <xf numFmtId="0" fontId="93" fillId="0" borderId="16" xfId="44" applyFont="1" applyFill="1" applyBorder="1" applyAlignment="1">
      <alignment horizontal="center" vertical="center" wrapText="1"/>
      <protection/>
    </xf>
    <xf numFmtId="0" fontId="93" fillId="0" borderId="18" xfId="44" applyNumberFormat="1" applyFont="1" applyFill="1" applyBorder="1" applyAlignment="1" applyProtection="1">
      <alignment horizontal="center" vertical="center" wrapText="1"/>
      <protection/>
    </xf>
    <xf numFmtId="49" fontId="93" fillId="0" borderId="29" xfId="46" applyFont="1" applyFill="1" applyBorder="1" applyAlignment="1" applyProtection="1">
      <alignment horizontal="center" vertical="center" shrinkToFit="1"/>
      <protection/>
    </xf>
    <xf numFmtId="49" fontId="93" fillId="0" borderId="31" xfId="46" applyFont="1" applyFill="1" applyBorder="1" applyAlignment="1" applyProtection="1">
      <alignment horizontal="left" vertical="center"/>
      <protection/>
    </xf>
    <xf numFmtId="49" fontId="93" fillId="0" borderId="33" xfId="46" applyFont="1" applyFill="1" applyBorder="1" applyAlignment="1" applyProtection="1">
      <alignment horizontal="left" vertical="center"/>
      <protection/>
    </xf>
    <xf numFmtId="49" fontId="93" fillId="0" borderId="36" xfId="46" applyFont="1" applyFill="1" applyBorder="1" applyAlignment="1" applyProtection="1">
      <alignment horizontal="left" vertical="center"/>
      <protection/>
    </xf>
    <xf numFmtId="0" fontId="93" fillId="0" borderId="44" xfId="56" applyNumberFormat="1" applyFont="1" applyFill="1" applyBorder="1" applyAlignment="1" applyProtection="1">
      <alignment horizontal="left" vertical="center" wrapText="1"/>
      <protection/>
    </xf>
    <xf numFmtId="49" fontId="93" fillId="0" borderId="45" xfId="46" applyFont="1" applyFill="1" applyBorder="1" applyAlignment="1" applyProtection="1">
      <alignment horizontal="left" vertical="center"/>
      <protection/>
    </xf>
    <xf numFmtId="4" fontId="93" fillId="0" borderId="45" xfId="57" applyFont="1" applyFill="1" applyBorder="1" applyAlignment="1" applyProtection="1">
      <alignment horizontal="center" vertical="center" shrinkToFit="1"/>
      <protection/>
    </xf>
    <xf numFmtId="43" fontId="93" fillId="0" borderId="45" xfId="90" applyFont="1" applyFill="1" applyBorder="1" applyAlignment="1" applyProtection="1">
      <alignment horizontal="center" vertical="center" shrinkToFit="1"/>
      <protection/>
    </xf>
    <xf numFmtId="10" fontId="93" fillId="0" borderId="45" xfId="57" applyNumberFormat="1" applyFont="1" applyFill="1" applyBorder="1" applyAlignment="1" applyProtection="1">
      <alignment horizontal="center" vertical="center" shrinkToFit="1"/>
      <protection/>
    </xf>
    <xf numFmtId="4" fontId="94" fillId="0" borderId="45" xfId="57" applyFont="1" applyFill="1" applyBorder="1" applyAlignment="1" applyProtection="1">
      <alignment horizontal="center" vertical="center" shrinkToFit="1"/>
      <protection/>
    </xf>
    <xf numFmtId="10" fontId="93" fillId="0" borderId="46" xfId="58" applyFont="1" applyFill="1" applyBorder="1" applyAlignment="1" applyProtection="1">
      <alignment horizontal="left" vertical="center" shrinkToFit="1"/>
      <protection/>
    </xf>
    <xf numFmtId="4" fontId="93" fillId="0" borderId="17" xfId="52" applyFont="1" applyFill="1" applyBorder="1" applyAlignment="1" applyProtection="1">
      <alignment horizontal="center" vertical="center" shrinkToFit="1"/>
      <protection/>
    </xf>
    <xf numFmtId="43" fontId="93" fillId="0" borderId="17" xfId="90" applyFont="1" applyFill="1" applyBorder="1" applyAlignment="1" applyProtection="1">
      <alignment horizontal="center" vertical="center" shrinkToFit="1"/>
      <protection/>
    </xf>
    <xf numFmtId="10" fontId="93" fillId="0" borderId="38" xfId="57" applyNumberFormat="1" applyFont="1" applyFill="1" applyBorder="1" applyAlignment="1" applyProtection="1">
      <alignment horizontal="center" vertical="center" shrinkToFit="1"/>
      <protection/>
    </xf>
    <xf numFmtId="4" fontId="93" fillId="0" borderId="47" xfId="52" applyFont="1" applyFill="1" applyBorder="1" applyAlignment="1" applyProtection="1">
      <alignment horizontal="center" vertical="center" shrinkToFit="1"/>
      <protection/>
    </xf>
    <xf numFmtId="10" fontId="93" fillId="0" borderId="40" xfId="53" applyFont="1" applyFill="1" applyBorder="1" applyAlignment="1" applyProtection="1">
      <alignment horizontal="left" vertical="center" shrinkToFit="1"/>
      <protection/>
    </xf>
    <xf numFmtId="0" fontId="93" fillId="0" borderId="22" xfId="54" applyNumberFormat="1" applyFont="1" applyFill="1" applyBorder="1" applyAlignment="1" applyProtection="1">
      <alignment horizontal="left" vertical="center"/>
      <protection/>
    </xf>
    <xf numFmtId="0" fontId="93" fillId="0" borderId="50" xfId="39" applyNumberFormat="1" applyFont="1" applyFill="1" applyBorder="1" applyAlignment="1" applyProtection="1">
      <alignment vertical="center" wrapText="1"/>
      <protection/>
    </xf>
    <xf numFmtId="0" fontId="93" fillId="0" borderId="51" xfId="39" applyNumberFormat="1" applyFont="1" applyFill="1" applyBorder="1" applyAlignment="1" applyProtection="1">
      <alignment vertical="center" wrapText="1"/>
      <protection/>
    </xf>
    <xf numFmtId="4" fontId="93" fillId="0" borderId="17" xfId="39" applyNumberFormat="1" applyFont="1" applyFill="1" applyBorder="1" applyAlignment="1" applyProtection="1">
      <alignment horizontal="center" vertical="center" wrapText="1"/>
      <protection/>
    </xf>
    <xf numFmtId="43" fontId="20" fillId="0" borderId="52" xfId="0" applyNumberFormat="1" applyFont="1" applyFill="1" applyBorder="1" applyAlignment="1" applyProtection="1">
      <alignment horizontal="center" vertical="center"/>
      <protection locked="0"/>
    </xf>
    <xf numFmtId="10" fontId="93" fillId="0" borderId="53" xfId="57" applyNumberFormat="1" applyFont="1" applyFill="1" applyBorder="1" applyAlignment="1" applyProtection="1">
      <alignment horizontal="center" vertical="center" shrinkToFit="1"/>
      <protection/>
    </xf>
    <xf numFmtId="4" fontId="93" fillId="0" borderId="54" xfId="39" applyNumberFormat="1" applyFont="1" applyFill="1" applyBorder="1" applyAlignment="1" applyProtection="1">
      <alignment horizontal="center" vertical="center" wrapText="1"/>
      <protection/>
    </xf>
    <xf numFmtId="4" fontId="94" fillId="0" borderId="55" xfId="39" applyNumberFormat="1" applyFont="1" applyFill="1" applyBorder="1" applyAlignment="1" applyProtection="1">
      <alignment horizontal="center" vertical="center" wrapText="1"/>
      <protection/>
    </xf>
    <xf numFmtId="4" fontId="94" fillId="0" borderId="17" xfId="39" applyNumberFormat="1" applyFont="1" applyFill="1" applyBorder="1" applyAlignment="1" applyProtection="1">
      <alignment horizontal="center" vertical="center" wrapText="1"/>
      <protection/>
    </xf>
    <xf numFmtId="0" fontId="20" fillId="0" borderId="56" xfId="0" applyFont="1" applyFill="1" applyBorder="1" applyAlignment="1" applyProtection="1">
      <alignment horizontal="left" vertical="center"/>
      <protection locked="0"/>
    </xf>
    <xf numFmtId="49" fontId="92" fillId="4" borderId="16" xfId="46" applyFont="1" applyFill="1" applyBorder="1" applyAlignment="1" applyProtection="1">
      <alignment horizontal="center" vertical="center" shrinkToFit="1"/>
      <protection/>
    </xf>
    <xf numFmtId="0" fontId="22" fillId="4" borderId="0" xfId="0" applyFont="1" applyFill="1" applyAlignment="1" applyProtection="1">
      <alignment horizontal="center" vertical="center"/>
      <protection locked="0"/>
    </xf>
    <xf numFmtId="4" fontId="92" fillId="10" borderId="57" xfId="57" applyFont="1" applyFill="1" applyBorder="1" applyAlignment="1" applyProtection="1">
      <alignment horizontal="left" vertical="top" shrinkToFit="1"/>
      <protection/>
    </xf>
    <xf numFmtId="4" fontId="92" fillId="4" borderId="58" xfId="57" applyFont="1" applyFill="1" applyBorder="1" applyAlignment="1" applyProtection="1">
      <alignment horizontal="left" vertical="top" shrinkToFit="1"/>
      <protection/>
    </xf>
    <xf numFmtId="49" fontId="93" fillId="0" borderId="59" xfId="46" applyFont="1" applyFill="1" applyBorder="1" applyAlignment="1" applyProtection="1">
      <alignment horizontal="left" vertical="center"/>
      <protection/>
    </xf>
    <xf numFmtId="4" fontId="93" fillId="0" borderId="60" xfId="57" applyFont="1" applyFill="1" applyBorder="1" applyAlignment="1" applyProtection="1">
      <alignment horizontal="center" vertical="center" shrinkToFit="1"/>
      <protection/>
    </xf>
    <xf numFmtId="49" fontId="92" fillId="4" borderId="45" xfId="46" applyFont="1" applyFill="1" applyBorder="1" applyAlignment="1" applyProtection="1">
      <alignment horizontal="left" vertical="center"/>
      <protection/>
    </xf>
    <xf numFmtId="4" fontId="92" fillId="4" borderId="45" xfId="57" applyFont="1" applyFill="1" applyBorder="1" applyAlignment="1" applyProtection="1">
      <alignment horizontal="center" vertical="center" shrinkToFit="1"/>
      <protection/>
    </xf>
    <xf numFmtId="4" fontId="95" fillId="10" borderId="45" xfId="57" applyFont="1" applyFill="1" applyBorder="1" applyAlignment="1" applyProtection="1">
      <alignment horizontal="center" vertical="center" shrinkToFit="1"/>
      <protection/>
    </xf>
    <xf numFmtId="10" fontId="95" fillId="10" borderId="45" xfId="57" applyNumberFormat="1" applyFont="1" applyFill="1" applyBorder="1" applyAlignment="1" applyProtection="1">
      <alignment horizontal="center" vertical="center" shrinkToFit="1"/>
      <protection/>
    </xf>
    <xf numFmtId="4" fontId="95" fillId="10" borderId="46" xfId="57" applyFont="1" applyFill="1" applyBorder="1" applyAlignment="1" applyProtection="1">
      <alignment horizontal="center" vertical="center" shrinkToFit="1"/>
      <protection/>
    </xf>
    <xf numFmtId="4" fontId="96" fillId="0" borderId="5" xfId="57" applyFont="1" applyFill="1" applyBorder="1" applyAlignment="1" applyProtection="1">
      <alignment horizontal="center" vertical="center" shrinkToFit="1"/>
      <protection/>
    </xf>
    <xf numFmtId="10" fontId="96" fillId="0" borderId="5" xfId="57" applyNumberFormat="1" applyFont="1" applyFill="1" applyBorder="1" applyAlignment="1" applyProtection="1">
      <alignment horizontal="center" vertical="center" shrinkToFit="1"/>
      <protection/>
    </xf>
    <xf numFmtId="4" fontId="96" fillId="0" borderId="2" xfId="57" applyFont="1" applyFill="1" applyBorder="1" applyAlignment="1" applyProtection="1">
      <alignment horizontal="center" vertical="center" shrinkToFit="1"/>
      <protection/>
    </xf>
    <xf numFmtId="10" fontId="96" fillId="0" borderId="2" xfId="57" applyNumberFormat="1" applyFont="1" applyFill="1" applyBorder="1" applyAlignment="1" applyProtection="1">
      <alignment horizontal="center" vertical="center" shrinkToFit="1"/>
      <protection/>
    </xf>
    <xf numFmtId="43" fontId="96" fillId="0" borderId="2" xfId="90" applyFont="1" applyFill="1" applyBorder="1" applyAlignment="1" applyProtection="1">
      <alignment horizontal="center" vertical="center" shrinkToFit="1"/>
      <protection/>
    </xf>
    <xf numFmtId="49" fontId="93" fillId="4" borderId="16" xfId="46" applyFont="1" applyFill="1" applyBorder="1" applyAlignment="1" applyProtection="1">
      <alignment horizontal="center" vertical="center" shrinkToFit="1"/>
      <protection/>
    </xf>
    <xf numFmtId="0" fontId="20" fillId="4" borderId="0" xfId="0" applyFont="1" applyFill="1" applyAlignment="1" applyProtection="1">
      <alignment horizontal="center" vertical="center"/>
      <protection locked="0"/>
    </xf>
    <xf numFmtId="10" fontId="93" fillId="4" borderId="61" xfId="58" applyFont="1" applyFill="1" applyBorder="1" applyAlignment="1" applyProtection="1">
      <alignment horizontal="left" vertical="top" shrinkToFit="1"/>
      <protection/>
    </xf>
    <xf numFmtId="4" fontId="96" fillId="0" borderId="39" xfId="57" applyFont="1" applyFill="1" applyBorder="1" applyAlignment="1" applyProtection="1">
      <alignment horizontal="center" vertical="center" shrinkToFit="1"/>
      <protection/>
    </xf>
    <xf numFmtId="43" fontId="96" fillId="0" borderId="39" xfId="90" applyFont="1" applyFill="1" applyBorder="1" applyAlignment="1" applyProtection="1">
      <alignment horizontal="center" vertical="center" shrinkToFit="1"/>
      <protection/>
    </xf>
    <xf numFmtId="10" fontId="96" fillId="0" borderId="39" xfId="57" applyNumberFormat="1" applyFont="1" applyFill="1" applyBorder="1" applyAlignment="1" applyProtection="1">
      <alignment horizontal="center" vertical="center" shrinkToFit="1"/>
      <protection/>
    </xf>
    <xf numFmtId="43" fontId="96" fillId="0" borderId="5" xfId="90" applyFont="1" applyFill="1" applyBorder="1" applyAlignment="1" applyProtection="1">
      <alignment horizontal="center" vertical="center" shrinkToFit="1"/>
      <protection/>
    </xf>
    <xf numFmtId="49" fontId="92" fillId="4" borderId="45" xfId="46" applyFont="1" applyFill="1" applyBorder="1" applyAlignment="1" applyProtection="1">
      <alignment horizontal="left" vertical="center"/>
      <protection/>
    </xf>
    <xf numFmtId="4" fontId="92" fillId="4" borderId="45" xfId="57" applyFont="1" applyFill="1" applyBorder="1" applyAlignment="1" applyProtection="1">
      <alignment horizontal="center" vertical="center" shrinkToFit="1"/>
      <protection/>
    </xf>
    <xf numFmtId="4" fontId="95" fillId="4" borderId="45" xfId="57" applyFont="1" applyFill="1" applyBorder="1" applyAlignment="1" applyProtection="1">
      <alignment horizontal="center" vertical="center" shrinkToFit="1"/>
      <protection/>
    </xf>
    <xf numFmtId="10" fontId="95" fillId="4" borderId="45" xfId="57" applyNumberFormat="1" applyFont="1" applyFill="1" applyBorder="1" applyAlignment="1" applyProtection="1">
      <alignment horizontal="center" vertical="center" shrinkToFit="1"/>
      <protection/>
    </xf>
    <xf numFmtId="4" fontId="95" fillId="4" borderId="46" xfId="57" applyFont="1" applyFill="1" applyBorder="1" applyAlignment="1" applyProtection="1">
      <alignment horizontal="center" vertical="center" shrinkToFit="1"/>
      <protection/>
    </xf>
    <xf numFmtId="0" fontId="93" fillId="0" borderId="62" xfId="44" applyFont="1" applyFill="1" applyBorder="1" applyAlignment="1">
      <alignment horizontal="center" vertical="center" wrapText="1"/>
      <protection/>
    </xf>
    <xf numFmtId="0" fontId="93" fillId="0" borderId="63" xfId="44" applyNumberFormat="1" applyFont="1" applyFill="1" applyBorder="1" applyAlignment="1" applyProtection="1">
      <alignment horizontal="center" vertical="center" wrapText="1"/>
      <protection/>
    </xf>
    <xf numFmtId="0" fontId="93" fillId="0" borderId="52" xfId="44" applyNumberFormat="1" applyFont="1" applyFill="1" applyBorder="1" applyAlignment="1" applyProtection="1">
      <alignment horizontal="center" vertical="center" wrapText="1"/>
      <protection/>
    </xf>
    <xf numFmtId="0" fontId="93" fillId="0" borderId="56" xfId="44" applyNumberFormat="1" applyFont="1" applyFill="1" applyBorder="1" applyAlignment="1" applyProtection="1">
      <alignment horizontal="center" vertical="center" wrapText="1"/>
      <protection/>
    </xf>
    <xf numFmtId="49" fontId="97" fillId="0" borderId="16" xfId="46" applyFont="1" applyFill="1" applyBorder="1" applyAlignment="1" applyProtection="1">
      <alignment horizontal="center" vertical="center" shrinkToFit="1"/>
      <protection/>
    </xf>
    <xf numFmtId="49" fontId="97" fillId="0" borderId="2" xfId="46" applyFont="1" applyFill="1" applyBorder="1" applyAlignment="1" applyProtection="1">
      <alignment horizontal="left" vertical="center"/>
      <protection/>
    </xf>
    <xf numFmtId="4" fontId="97" fillId="0" borderId="2" xfId="57" applyFont="1" applyFill="1" applyBorder="1" applyAlignment="1" applyProtection="1">
      <alignment horizontal="center" vertical="center" shrinkToFit="1"/>
      <protection/>
    </xf>
    <xf numFmtId="0" fontId="30" fillId="0" borderId="0" xfId="0" applyFont="1" applyFill="1" applyAlignment="1" applyProtection="1">
      <alignment horizontal="center" vertical="center"/>
      <protection locked="0"/>
    </xf>
    <xf numFmtId="4" fontId="98" fillId="4" borderId="45" xfId="57" applyFont="1" applyFill="1" applyBorder="1" applyAlignment="1" applyProtection="1">
      <alignment horizontal="center" vertical="center" shrinkToFit="1"/>
      <protection/>
    </xf>
    <xf numFmtId="10" fontId="98" fillId="4" borderId="45" xfId="57" applyNumberFormat="1" applyFont="1" applyFill="1" applyBorder="1" applyAlignment="1" applyProtection="1">
      <alignment horizontal="center" vertical="center" shrinkToFit="1"/>
      <protection/>
    </xf>
    <xf numFmtId="4" fontId="98" fillId="4" borderId="46" xfId="57" applyFont="1" applyFill="1" applyBorder="1" applyAlignment="1" applyProtection="1">
      <alignment horizontal="center" vertical="center" shrinkToFit="1"/>
      <protection/>
    </xf>
    <xf numFmtId="4" fontId="99" fillId="0" borderId="60" xfId="57" applyFont="1" applyFill="1" applyBorder="1" applyAlignment="1" applyProtection="1">
      <alignment horizontal="center" vertical="center" shrinkToFit="1"/>
      <protection/>
    </xf>
    <xf numFmtId="43" fontId="99" fillId="0" borderId="60" xfId="90" applyFont="1" applyFill="1" applyBorder="1" applyAlignment="1" applyProtection="1">
      <alignment horizontal="center" vertical="center" shrinkToFit="1"/>
      <protection/>
    </xf>
    <xf numFmtId="10" fontId="99" fillId="0" borderId="59" xfId="57" applyNumberFormat="1" applyFont="1" applyFill="1" applyBorder="1" applyAlignment="1" applyProtection="1">
      <alignment horizontal="center" vertical="center" shrinkToFit="1"/>
      <protection/>
    </xf>
    <xf numFmtId="4" fontId="99" fillId="0" borderId="59" xfId="57" applyFont="1" applyFill="1" applyBorder="1" applyAlignment="1" applyProtection="1">
      <alignment horizontal="center" vertical="center" shrinkToFit="1"/>
      <protection/>
    </xf>
    <xf numFmtId="4" fontId="99" fillId="0" borderId="60" xfId="53" applyNumberFormat="1" applyFont="1" applyFill="1" applyBorder="1" applyAlignment="1" applyProtection="1">
      <alignment horizontal="center" vertical="center" shrinkToFit="1"/>
      <protection/>
    </xf>
    <xf numFmtId="4" fontId="99" fillId="0" borderId="30" xfId="57" applyFont="1" applyFill="1" applyBorder="1" applyAlignment="1" applyProtection="1">
      <alignment horizontal="center" vertical="center" shrinkToFit="1"/>
      <protection/>
    </xf>
    <xf numFmtId="43" fontId="99" fillId="0" borderId="29" xfId="90" applyFont="1" applyFill="1" applyBorder="1" applyAlignment="1" applyProtection="1">
      <alignment horizontal="center" vertical="center" shrinkToFit="1"/>
      <protection/>
    </xf>
    <xf numFmtId="10" fontId="99" fillId="0" borderId="31" xfId="57" applyNumberFormat="1" applyFont="1" applyFill="1" applyBorder="1" applyAlignment="1" applyProtection="1">
      <alignment horizontal="center" vertical="center" shrinkToFit="1"/>
      <protection/>
    </xf>
    <xf numFmtId="4" fontId="99" fillId="0" borderId="31" xfId="57" applyFont="1" applyFill="1" applyBorder="1" applyAlignment="1" applyProtection="1">
      <alignment horizontal="center" vertical="center" shrinkToFit="1"/>
      <protection/>
    </xf>
    <xf numFmtId="4" fontId="99" fillId="0" borderId="29" xfId="57" applyFont="1" applyFill="1" applyBorder="1" applyAlignment="1" applyProtection="1">
      <alignment horizontal="center" vertical="center" shrinkToFit="1"/>
      <protection/>
    </xf>
    <xf numFmtId="4" fontId="99" fillId="0" borderId="5" xfId="57" applyFont="1" applyFill="1" applyBorder="1" applyAlignment="1" applyProtection="1">
      <alignment horizontal="center" vertical="center" shrinkToFit="1"/>
      <protection/>
    </xf>
    <xf numFmtId="43" fontId="99" fillId="0" borderId="33" xfId="90" applyFont="1" applyFill="1" applyBorder="1" applyAlignment="1" applyProtection="1">
      <alignment horizontal="center" vertical="center" shrinkToFit="1"/>
      <protection/>
    </xf>
    <xf numFmtId="10" fontId="99" fillId="0" borderId="29" xfId="57" applyNumberFormat="1" applyFont="1" applyFill="1" applyBorder="1" applyAlignment="1" applyProtection="1">
      <alignment horizontal="center" vertical="center" shrinkToFit="1"/>
      <protection/>
    </xf>
    <xf numFmtId="10" fontId="99" fillId="0" borderId="5" xfId="57" applyNumberFormat="1" applyFont="1" applyFill="1" applyBorder="1" applyAlignment="1" applyProtection="1">
      <alignment horizontal="center" vertical="center" shrinkToFit="1"/>
      <protection/>
    </xf>
    <xf numFmtId="4" fontId="99" fillId="0" borderId="2" xfId="57" applyFont="1" applyFill="1" applyBorder="1" applyAlignment="1" applyProtection="1">
      <alignment horizontal="center" vertical="center" shrinkToFit="1"/>
      <protection/>
    </xf>
    <xf numFmtId="43" fontId="99" fillId="0" borderId="36" xfId="90" applyFont="1" applyFill="1" applyBorder="1" applyAlignment="1" applyProtection="1">
      <alignment horizontal="center" vertical="center" shrinkToFit="1"/>
      <protection/>
    </xf>
    <xf numFmtId="10" fontId="99" fillId="0" borderId="17" xfId="57" applyNumberFormat="1" applyFont="1" applyFill="1" applyBorder="1" applyAlignment="1" applyProtection="1">
      <alignment horizontal="center" vertical="center" shrinkToFit="1"/>
      <protection/>
    </xf>
    <xf numFmtId="10" fontId="99" fillId="0" borderId="2" xfId="57" applyNumberFormat="1" applyFont="1" applyFill="1" applyBorder="1" applyAlignment="1" applyProtection="1">
      <alignment horizontal="center" vertical="center" shrinkToFit="1"/>
      <protection/>
    </xf>
    <xf numFmtId="4" fontId="99" fillId="0" borderId="28" xfId="57" applyFont="1" applyFill="1" applyBorder="1" applyAlignment="1" applyProtection="1">
      <alignment horizontal="center" vertical="center" shrinkToFit="1"/>
      <protection/>
    </xf>
    <xf numFmtId="43" fontId="99" fillId="0" borderId="2" xfId="90" applyFont="1" applyFill="1" applyBorder="1" applyAlignment="1" applyProtection="1">
      <alignment horizontal="center" vertical="center" shrinkToFit="1"/>
      <protection/>
    </xf>
    <xf numFmtId="4" fontId="100" fillId="0" borderId="2" xfId="57" applyFont="1" applyFill="1" applyBorder="1" applyAlignment="1" applyProtection="1">
      <alignment horizontal="center" vertical="center" shrinkToFit="1"/>
      <protection/>
    </xf>
    <xf numFmtId="43" fontId="100" fillId="0" borderId="2" xfId="90" applyFont="1" applyFill="1" applyBorder="1" applyAlignment="1" applyProtection="1">
      <alignment horizontal="center" vertical="center" shrinkToFit="1"/>
      <protection/>
    </xf>
    <xf numFmtId="10" fontId="100" fillId="0" borderId="2" xfId="57" applyNumberFormat="1" applyFont="1" applyFill="1" applyBorder="1" applyAlignment="1" applyProtection="1">
      <alignment horizontal="center" vertical="center" shrinkToFit="1"/>
      <protection/>
    </xf>
    <xf numFmtId="49" fontId="101" fillId="10" borderId="64" xfId="46" applyFont="1" applyFill="1" applyBorder="1" applyAlignment="1" applyProtection="1">
      <alignment horizontal="center" vertical="center" shrinkToFit="1"/>
      <protection/>
    </xf>
    <xf numFmtId="0" fontId="101" fillId="10" borderId="44" xfId="56" applyNumberFormat="1" applyFont="1" applyFill="1" applyBorder="1" applyAlignment="1" applyProtection="1">
      <alignment horizontal="left" vertical="center" wrapText="1"/>
      <protection/>
    </xf>
    <xf numFmtId="49" fontId="101" fillId="4" borderId="64" xfId="46" applyFont="1" applyFill="1" applyBorder="1" applyAlignment="1" applyProtection="1">
      <alignment horizontal="center" vertical="center" shrinkToFit="1"/>
      <protection/>
    </xf>
    <xf numFmtId="0" fontId="101" fillId="4" borderId="44" xfId="56" applyNumberFormat="1" applyFont="1" applyFill="1" applyBorder="1" applyAlignment="1" applyProtection="1">
      <alignment horizontal="left" vertical="center" wrapText="1"/>
      <protection/>
    </xf>
    <xf numFmtId="0" fontId="102" fillId="0" borderId="0" xfId="56" applyNumberFormat="1" applyFont="1" applyFill="1" applyBorder="1" applyAlignment="1" applyProtection="1">
      <alignment horizontal="left" vertical="center" wrapText="1"/>
      <protection/>
    </xf>
    <xf numFmtId="0" fontId="102" fillId="0" borderId="30" xfId="56" applyNumberFormat="1" applyFont="1" applyFill="1" applyBorder="1" applyAlignment="1" applyProtection="1">
      <alignment horizontal="left" vertical="center" wrapText="1"/>
      <protection/>
    </xf>
    <xf numFmtId="0" fontId="102" fillId="0" borderId="32" xfId="56" applyNumberFormat="1" applyFont="1" applyFill="1" applyBorder="1" applyAlignment="1" applyProtection="1">
      <alignment horizontal="left" vertical="center" wrapText="1"/>
      <protection/>
    </xf>
    <xf numFmtId="0" fontId="102" fillId="0" borderId="35" xfId="56" applyNumberFormat="1" applyFont="1" applyFill="1" applyBorder="1" applyAlignment="1" applyProtection="1">
      <alignment horizontal="left" vertical="center" wrapText="1"/>
      <protection/>
    </xf>
    <xf numFmtId="0" fontId="100" fillId="0" borderId="35" xfId="56" applyNumberFormat="1" applyFont="1" applyFill="1" applyBorder="1" applyAlignment="1" applyProtection="1">
      <alignment horizontal="left" vertical="center" wrapText="1"/>
      <protection/>
    </xf>
    <xf numFmtId="0" fontId="102" fillId="0" borderId="38" xfId="56" applyNumberFormat="1" applyFont="1" applyFill="1" applyBorder="1" applyAlignment="1" applyProtection="1">
      <alignment horizontal="left" vertical="center" wrapText="1"/>
      <protection/>
    </xf>
    <xf numFmtId="10" fontId="93" fillId="0" borderId="65" xfId="58" applyFont="1" applyFill="1" applyBorder="1" applyAlignment="1" applyProtection="1">
      <alignment horizontal="left" vertical="top" wrapText="1" shrinkToFit="1"/>
      <protection/>
    </xf>
    <xf numFmtId="10" fontId="23" fillId="0" borderId="66" xfId="58" applyFont="1" applyFill="1" applyBorder="1" applyAlignment="1" applyProtection="1">
      <alignment horizontal="left" vertical="top" wrapText="1" shrinkToFit="1"/>
      <protection/>
    </xf>
    <xf numFmtId="10" fontId="93" fillId="0" borderId="67" xfId="58" applyFont="1" applyFill="1" applyBorder="1" applyAlignment="1" applyProtection="1">
      <alignment horizontal="left" vertical="top" shrinkToFit="1"/>
      <protection/>
    </xf>
    <xf numFmtId="10" fontId="93" fillId="0" borderId="61" xfId="58" applyFont="1" applyFill="1" applyBorder="1" applyAlignment="1" applyProtection="1">
      <alignment horizontal="left" vertical="top" shrinkToFit="1"/>
      <protection/>
    </xf>
    <xf numFmtId="49" fontId="93" fillId="0" borderId="65" xfId="58" applyNumberFormat="1" applyFont="1" applyFill="1" applyBorder="1" applyAlignment="1" applyProtection="1">
      <alignment horizontal="left" vertical="top" wrapText="1" shrinkToFit="1"/>
      <protection/>
    </xf>
    <xf numFmtId="10" fontId="93" fillId="0" borderId="61" xfId="58" applyFont="1" applyFill="1" applyBorder="1" applyAlignment="1" applyProtection="1">
      <alignment horizontal="left" vertical="top" wrapText="1" shrinkToFit="1"/>
      <protection/>
    </xf>
    <xf numFmtId="10" fontId="93" fillId="0" borderId="61" xfId="58" applyFont="1" applyFill="1" applyBorder="1" applyAlignment="1" applyProtection="1">
      <alignment horizontal="left" vertical="top" wrapText="1" shrinkToFit="1"/>
      <protection/>
    </xf>
    <xf numFmtId="10" fontId="97" fillId="0" borderId="61" xfId="58" applyFont="1" applyFill="1" applyBorder="1" applyAlignment="1" applyProtection="1">
      <alignment horizontal="left" vertical="top" wrapText="1" shrinkToFit="1"/>
      <protection/>
    </xf>
    <xf numFmtId="10" fontId="23" fillId="0" borderId="61" xfId="58" applyFont="1" applyFill="1" applyBorder="1" applyAlignment="1" applyProtection="1">
      <alignment horizontal="left" vertical="top" wrapText="1" shrinkToFit="1"/>
      <protection/>
    </xf>
    <xf numFmtId="10" fontId="23" fillId="0" borderId="61" xfId="58" applyFont="1" applyFill="1" applyBorder="1" applyAlignment="1" applyProtection="1">
      <alignment horizontal="left" vertical="top" wrapText="1" shrinkToFit="1"/>
      <protection/>
    </xf>
    <xf numFmtId="49" fontId="102" fillId="0" borderId="68" xfId="46" applyFont="1" applyFill="1" applyBorder="1" applyAlignment="1" applyProtection="1">
      <alignment horizontal="center" vertical="center" shrinkToFit="1"/>
      <protection/>
    </xf>
    <xf numFmtId="4" fontId="99" fillId="0" borderId="69" xfId="57" applyFont="1" applyFill="1" applyBorder="1" applyAlignment="1" applyProtection="1">
      <alignment horizontal="center" vertical="center" shrinkToFit="1"/>
      <protection/>
    </xf>
    <xf numFmtId="49" fontId="102" fillId="0" borderId="70" xfId="46" applyFont="1" applyFill="1" applyBorder="1" applyAlignment="1" applyProtection="1">
      <alignment horizontal="center" vertical="center" shrinkToFit="1"/>
      <protection/>
    </xf>
    <xf numFmtId="4" fontId="99" fillId="0" borderId="71" xfId="57" applyFont="1" applyFill="1" applyBorder="1" applyAlignment="1" applyProtection="1">
      <alignment horizontal="center" vertical="center" shrinkToFit="1"/>
      <protection/>
    </xf>
    <xf numFmtId="4" fontId="99" fillId="0" borderId="67" xfId="57" applyFont="1" applyFill="1" applyBorder="1" applyAlignment="1" applyProtection="1">
      <alignment horizontal="center" vertical="center" shrinkToFit="1"/>
      <protection/>
    </xf>
    <xf numFmtId="49" fontId="102" fillId="0" borderId="72" xfId="46" applyFont="1" applyFill="1" applyBorder="1" applyAlignment="1" applyProtection="1">
      <alignment horizontal="center" vertical="center" shrinkToFit="1"/>
      <protection/>
    </xf>
    <xf numFmtId="4" fontId="99" fillId="0" borderId="61" xfId="57" applyFont="1" applyFill="1" applyBorder="1" applyAlignment="1" applyProtection="1">
      <alignment horizontal="center" vertical="center" shrinkToFit="1"/>
      <protection/>
    </xf>
    <xf numFmtId="4" fontId="99" fillId="0" borderId="37" xfId="57" applyFont="1" applyFill="1" applyBorder="1" applyAlignment="1" applyProtection="1">
      <alignment horizontal="center" vertical="center" shrinkToFit="1"/>
      <protection/>
    </xf>
    <xf numFmtId="49" fontId="100" fillId="0" borderId="72" xfId="46" applyFont="1" applyFill="1" applyBorder="1" applyAlignment="1" applyProtection="1">
      <alignment horizontal="center" vertical="center" shrinkToFit="1"/>
      <protection/>
    </xf>
    <xf numFmtId="4" fontId="100" fillId="0" borderId="37" xfId="57" applyFont="1" applyFill="1" applyBorder="1" applyAlignment="1" applyProtection="1">
      <alignment horizontal="center" vertical="center" shrinkToFit="1"/>
      <protection/>
    </xf>
    <xf numFmtId="4" fontId="96" fillId="0" borderId="37" xfId="57" applyFont="1" applyFill="1" applyBorder="1" applyAlignment="1" applyProtection="1">
      <alignment horizontal="center" vertical="center" shrinkToFit="1"/>
      <protection/>
    </xf>
    <xf numFmtId="49" fontId="102" fillId="0" borderId="73" xfId="46" applyFont="1" applyFill="1" applyBorder="1" applyAlignment="1" applyProtection="1">
      <alignment horizontal="center" vertical="center" shrinkToFit="1"/>
      <protection/>
    </xf>
    <xf numFmtId="4" fontId="96" fillId="0" borderId="40" xfId="57" applyFont="1" applyFill="1" applyBorder="1" applyAlignment="1" applyProtection="1">
      <alignment horizontal="center" vertical="center" shrinkToFit="1"/>
      <protection/>
    </xf>
    <xf numFmtId="4" fontId="96" fillId="0" borderId="34" xfId="57" applyFont="1" applyFill="1" applyBorder="1" applyAlignment="1" applyProtection="1">
      <alignment horizontal="center" vertical="center" shrinkToFit="1"/>
      <protection/>
    </xf>
    <xf numFmtId="49" fontId="102" fillId="0" borderId="62" xfId="46" applyFont="1" applyFill="1" applyBorder="1" applyAlignment="1" applyProtection="1">
      <alignment horizontal="center" vertical="center" shrinkToFit="1"/>
      <protection/>
    </xf>
    <xf numFmtId="0" fontId="102" fillId="0" borderId="53" xfId="56" applyNumberFormat="1" applyFont="1" applyFill="1" applyBorder="1" applyAlignment="1" applyProtection="1">
      <alignment horizontal="left" vertical="center" wrapText="1"/>
      <protection/>
    </xf>
    <xf numFmtId="49" fontId="93" fillId="0" borderId="74" xfId="46" applyFont="1" applyFill="1" applyBorder="1" applyAlignment="1" applyProtection="1">
      <alignment horizontal="left" vertical="center"/>
      <protection/>
    </xf>
    <xf numFmtId="4" fontId="93" fillId="0" borderId="74" xfId="57" applyFont="1" applyFill="1" applyBorder="1" applyAlignment="1" applyProtection="1">
      <alignment horizontal="center" vertical="center" shrinkToFit="1"/>
      <protection/>
    </xf>
    <xf numFmtId="4" fontId="96" fillId="0" borderId="74" xfId="57" applyFont="1" applyFill="1" applyBorder="1" applyAlignment="1" applyProtection="1">
      <alignment horizontal="center" vertical="center" shrinkToFit="1"/>
      <protection/>
    </xf>
    <xf numFmtId="43" fontId="96" fillId="0" borderId="74" xfId="90" applyFont="1" applyFill="1" applyBorder="1" applyAlignment="1" applyProtection="1">
      <alignment horizontal="center" vertical="center" shrinkToFit="1"/>
      <protection/>
    </xf>
    <xf numFmtId="10" fontId="96" fillId="0" borderId="74" xfId="57" applyNumberFormat="1" applyFont="1" applyFill="1" applyBorder="1" applyAlignment="1" applyProtection="1">
      <alignment horizontal="center" vertical="center" shrinkToFit="1"/>
      <protection/>
    </xf>
    <xf numFmtId="4" fontId="96" fillId="0" borderId="75" xfId="57" applyFont="1" applyFill="1" applyBorder="1" applyAlignment="1" applyProtection="1">
      <alignment horizontal="center" vertical="center" shrinkToFit="1"/>
      <protection/>
    </xf>
    <xf numFmtId="0" fontId="68" fillId="36" borderId="16" xfId="44" applyFont="1" applyFill="1" applyBorder="1" applyAlignment="1">
      <alignment horizontal="center" vertical="center" wrapText="1"/>
      <protection/>
    </xf>
    <xf numFmtId="0" fontId="68" fillId="36" borderId="17" xfId="44" applyNumberFormat="1" applyFont="1" applyFill="1" applyBorder="1" applyAlignment="1" applyProtection="1">
      <alignment horizontal="center" vertical="center" wrapText="1"/>
      <protection/>
    </xf>
    <xf numFmtId="4" fontId="67" fillId="37" borderId="27" xfId="57" applyFont="1" applyFill="1" applyBorder="1" applyAlignment="1" applyProtection="1">
      <alignment horizontal="center" vertical="center" shrinkToFit="1"/>
      <protection/>
    </xf>
    <xf numFmtId="0" fontId="68" fillId="36" borderId="16" xfId="44" applyFont="1" applyFill="1" applyBorder="1" applyAlignment="1">
      <alignment horizontal="center" vertical="center" wrapText="1"/>
      <protection/>
    </xf>
    <xf numFmtId="0" fontId="68" fillId="36" borderId="17" xfId="44" applyNumberFormat="1" applyFont="1" applyFill="1" applyBorder="1" applyAlignment="1" applyProtection="1">
      <alignment horizontal="center" vertical="center" wrapText="1"/>
      <protection/>
    </xf>
    <xf numFmtId="0" fontId="68" fillId="36" borderId="16" xfId="44" applyFont="1" applyFill="1" applyBorder="1" applyAlignment="1">
      <alignment horizontal="center" vertical="center" wrapText="1"/>
      <protection/>
    </xf>
    <xf numFmtId="0" fontId="68" fillId="36" borderId="17" xfId="44" applyNumberFormat="1" applyFont="1" applyFill="1" applyBorder="1" applyAlignment="1" applyProtection="1">
      <alignment horizontal="center" vertical="center" wrapText="1"/>
      <protection/>
    </xf>
    <xf numFmtId="0" fontId="68" fillId="36" borderId="16" xfId="44" applyFont="1" applyFill="1" applyBorder="1" applyAlignment="1">
      <alignment horizontal="center" vertical="center" wrapText="1"/>
      <protection/>
    </xf>
    <xf numFmtId="0" fontId="68" fillId="36" borderId="17" xfId="44" applyNumberFormat="1" applyFont="1" applyFill="1" applyBorder="1" applyAlignment="1" applyProtection="1">
      <alignment horizontal="center" vertical="center" wrapText="1"/>
      <protection/>
    </xf>
    <xf numFmtId="0" fontId="38" fillId="0" borderId="0" xfId="0" applyFont="1" applyFill="1" applyAlignment="1" applyProtection="1">
      <alignment horizontal="center" vertical="center"/>
      <protection locked="0"/>
    </xf>
    <xf numFmtId="0" fontId="38" fillId="0" borderId="0" xfId="0" applyFont="1" applyFill="1" applyAlignment="1" applyProtection="1">
      <alignment horizontal="left" vertical="center"/>
      <protection locked="0"/>
    </xf>
    <xf numFmtId="0" fontId="36" fillId="0" borderId="0" xfId="0" applyFont="1" applyFill="1" applyAlignment="1" applyProtection="1">
      <alignment horizontal="center" vertical="center"/>
      <protection locked="0"/>
    </xf>
    <xf numFmtId="49" fontId="103" fillId="10" borderId="16" xfId="46" applyFont="1" applyFill="1" applyBorder="1" applyAlignment="1" applyProtection="1">
      <alignment horizontal="center" vertical="center" shrinkToFit="1"/>
      <protection/>
    </xf>
    <xf numFmtId="49" fontId="103" fillId="10" borderId="64" xfId="46" applyFont="1" applyFill="1" applyBorder="1" applyAlignment="1" applyProtection="1">
      <alignment horizontal="center" vertical="center" shrinkToFit="1"/>
      <protection/>
    </xf>
    <xf numFmtId="0" fontId="103" fillId="10" borderId="44" xfId="56" applyNumberFormat="1" applyFont="1" applyFill="1" applyBorder="1" applyAlignment="1" applyProtection="1">
      <alignment horizontal="left" vertical="center" wrapText="1"/>
      <protection/>
    </xf>
    <xf numFmtId="49" fontId="103" fillId="10" borderId="45" xfId="46" applyFont="1" applyFill="1" applyBorder="1" applyAlignment="1" applyProtection="1">
      <alignment horizontal="left" vertical="center"/>
      <protection/>
    </xf>
    <xf numFmtId="4" fontId="103" fillId="10" borderId="45" xfId="57" applyFont="1" applyFill="1" applyBorder="1" applyAlignment="1" applyProtection="1">
      <alignment horizontal="center" vertical="center" shrinkToFit="1"/>
      <protection/>
    </xf>
    <xf numFmtId="4" fontId="103" fillId="10" borderId="57" xfId="57" applyFont="1" applyFill="1" applyBorder="1" applyAlignment="1" applyProtection="1">
      <alignment horizontal="left" vertical="top" shrinkToFit="1"/>
      <protection/>
    </xf>
    <xf numFmtId="0" fontId="36" fillId="10" borderId="0" xfId="0" applyFont="1" applyFill="1" applyAlignment="1" applyProtection="1">
      <alignment horizontal="center" vertical="center"/>
      <protection locked="0"/>
    </xf>
    <xf numFmtId="49" fontId="103" fillId="10" borderId="60" xfId="46" applyFont="1" applyFill="1" applyBorder="1" applyAlignment="1" applyProtection="1">
      <alignment horizontal="center" vertical="center" shrinkToFit="1"/>
      <protection/>
    </xf>
    <xf numFmtId="0" fontId="103" fillId="10" borderId="23" xfId="56" applyNumberFormat="1" applyFont="1" applyFill="1" applyBorder="1" applyAlignment="1" applyProtection="1">
      <alignment horizontal="left" vertical="center" wrapText="1"/>
      <protection/>
    </xf>
    <xf numFmtId="49" fontId="103" fillId="10" borderId="24" xfId="46" applyFont="1" applyFill="1" applyBorder="1" applyAlignment="1" applyProtection="1">
      <alignment horizontal="left" vertical="center"/>
      <protection/>
    </xf>
    <xf numFmtId="4" fontId="103" fillId="10" borderId="24" xfId="57" applyFont="1" applyFill="1" applyBorder="1" applyAlignment="1" applyProtection="1">
      <alignment horizontal="center" vertical="center" shrinkToFit="1"/>
      <protection/>
    </xf>
    <xf numFmtId="4" fontId="103" fillId="10" borderId="26" xfId="57" applyFont="1" applyFill="1" applyBorder="1" applyAlignment="1" applyProtection="1">
      <alignment horizontal="left" vertical="top" shrinkToFit="1"/>
      <protection/>
    </xf>
    <xf numFmtId="49" fontId="103" fillId="0" borderId="16" xfId="46" applyFont="1" applyFill="1" applyBorder="1" applyAlignment="1" applyProtection="1">
      <alignment horizontal="center" vertical="center" shrinkToFit="1"/>
      <protection/>
    </xf>
    <xf numFmtId="10" fontId="104" fillId="0" borderId="22" xfId="58" applyFont="1" applyFill="1" applyBorder="1" applyAlignment="1" applyProtection="1">
      <alignment horizontal="left" vertical="top" wrapText="1" shrinkToFit="1"/>
      <protection/>
    </xf>
    <xf numFmtId="10" fontId="38" fillId="0" borderId="29" xfId="58" applyFont="1" applyFill="1" applyBorder="1" applyAlignment="1" applyProtection="1">
      <alignment horizontal="left" vertical="top" wrapText="1" shrinkToFit="1"/>
      <protection/>
    </xf>
    <xf numFmtId="10" fontId="103" fillId="0" borderId="37" xfId="58" applyFont="1" applyFill="1" applyBorder="1" applyAlignment="1" applyProtection="1">
      <alignment horizontal="left" vertical="top" shrinkToFit="1"/>
      <protection/>
    </xf>
    <xf numFmtId="49" fontId="104" fillId="0" borderId="22" xfId="58" applyNumberFormat="1" applyFont="1" applyFill="1" applyBorder="1" applyAlignment="1" applyProtection="1">
      <alignment horizontal="left" vertical="top" wrapText="1" shrinkToFit="1"/>
      <protection/>
    </xf>
    <xf numFmtId="0" fontId="104" fillId="0" borderId="35" xfId="56" applyNumberFormat="1" applyFont="1" applyFill="1" applyBorder="1" applyAlignment="1" applyProtection="1">
      <alignment horizontal="left" vertical="center" wrapText="1"/>
      <protection/>
    </xf>
    <xf numFmtId="49" fontId="104" fillId="0" borderId="2" xfId="46" applyFont="1" applyFill="1" applyBorder="1" applyAlignment="1" applyProtection="1">
      <alignment horizontal="left" vertical="center"/>
      <protection/>
    </xf>
    <xf numFmtId="4" fontId="104" fillId="0" borderId="2" xfId="57" applyFont="1" applyFill="1" applyBorder="1" applyAlignment="1" applyProtection="1">
      <alignment horizontal="center" vertical="center" shrinkToFit="1"/>
      <protection/>
    </xf>
    <xf numFmtId="43" fontId="104" fillId="0" borderId="2" xfId="90" applyFont="1" applyFill="1" applyBorder="1" applyAlignment="1" applyProtection="1">
      <alignment horizontal="center" vertical="center" shrinkToFit="1"/>
      <protection/>
    </xf>
    <xf numFmtId="10" fontId="104" fillId="0" borderId="2" xfId="57" applyNumberFormat="1" applyFont="1" applyFill="1" applyBorder="1" applyAlignment="1" applyProtection="1">
      <alignment horizontal="center" vertical="center" shrinkToFit="1"/>
      <protection/>
    </xf>
    <xf numFmtId="10" fontId="104" fillId="0" borderId="37" xfId="58" applyFont="1" applyFill="1" applyBorder="1" applyAlignment="1" applyProtection="1">
      <alignment horizontal="left" vertical="top" wrapText="1" shrinkToFit="1"/>
      <protection/>
    </xf>
    <xf numFmtId="49" fontId="104" fillId="0" borderId="16" xfId="46" applyFont="1" applyFill="1" applyBorder="1" applyAlignment="1" applyProtection="1">
      <alignment horizontal="center" vertical="center" shrinkToFit="1"/>
      <protection/>
    </xf>
    <xf numFmtId="49" fontId="104" fillId="0" borderId="17" xfId="46" applyFont="1" applyFill="1" applyBorder="1" applyAlignment="1" applyProtection="1">
      <alignment horizontal="center" vertical="center" shrinkToFit="1"/>
      <protection/>
    </xf>
    <xf numFmtId="10" fontId="104" fillId="0" borderId="37" xfId="58" applyFont="1" applyFill="1" applyBorder="1" applyAlignment="1" applyProtection="1">
      <alignment horizontal="left" vertical="top" shrinkToFit="1"/>
      <protection/>
    </xf>
    <xf numFmtId="10" fontId="38" fillId="0" borderId="37" xfId="58" applyFont="1" applyFill="1" applyBorder="1" applyAlignment="1" applyProtection="1">
      <alignment horizontal="left" vertical="top" wrapText="1" shrinkToFit="1"/>
      <protection/>
    </xf>
    <xf numFmtId="49" fontId="104" fillId="0" borderId="22" xfId="46" applyFont="1" applyFill="1" applyBorder="1" applyAlignment="1" applyProtection="1">
      <alignment horizontal="center" vertical="center" shrinkToFit="1"/>
      <protection/>
    </xf>
    <xf numFmtId="0" fontId="104" fillId="0" borderId="38" xfId="56" applyNumberFormat="1" applyFont="1" applyFill="1" applyBorder="1" applyAlignment="1" applyProtection="1">
      <alignment horizontal="left" vertical="center" wrapText="1"/>
      <protection/>
    </xf>
    <xf numFmtId="49" fontId="104" fillId="0" borderId="39" xfId="46" applyFont="1" applyFill="1" applyBorder="1" applyAlignment="1" applyProtection="1">
      <alignment horizontal="left" vertical="center"/>
      <protection/>
    </xf>
    <xf numFmtId="4" fontId="104" fillId="0" borderId="39" xfId="57" applyFont="1" applyFill="1" applyBorder="1" applyAlignment="1" applyProtection="1">
      <alignment horizontal="center" vertical="center" shrinkToFit="1"/>
      <protection/>
    </xf>
    <xf numFmtId="43" fontId="104" fillId="0" borderId="39" xfId="90" applyFont="1" applyFill="1" applyBorder="1" applyAlignment="1" applyProtection="1">
      <alignment horizontal="center" vertical="center" shrinkToFit="1"/>
      <protection/>
    </xf>
    <xf numFmtId="10" fontId="104" fillId="0" borderId="39" xfId="57" applyNumberFormat="1" applyFont="1" applyFill="1" applyBorder="1" applyAlignment="1" applyProtection="1">
      <alignment horizontal="center" vertical="center" shrinkToFit="1"/>
      <protection/>
    </xf>
    <xf numFmtId="10" fontId="104" fillId="0" borderId="40" xfId="58" applyFont="1" applyFill="1" applyBorder="1" applyAlignment="1" applyProtection="1">
      <alignment horizontal="left" vertical="top" wrapText="1" shrinkToFit="1"/>
      <protection/>
    </xf>
    <xf numFmtId="0" fontId="104" fillId="0" borderId="41" xfId="56" applyNumberFormat="1" applyFont="1" applyFill="1" applyBorder="1" applyAlignment="1" applyProtection="1">
      <alignment horizontal="left" vertical="center" wrapText="1"/>
      <protection/>
    </xf>
    <xf numFmtId="49" fontId="104" fillId="0" borderId="42" xfId="46" applyFont="1" applyFill="1" applyBorder="1" applyAlignment="1" applyProtection="1">
      <alignment horizontal="left" vertical="center"/>
      <protection/>
    </xf>
    <xf numFmtId="4" fontId="104" fillId="0" borderId="42" xfId="57" applyFont="1" applyFill="1" applyBorder="1" applyAlignment="1" applyProtection="1">
      <alignment horizontal="center" vertical="center" shrinkToFit="1"/>
      <protection/>
    </xf>
    <xf numFmtId="43" fontId="104" fillId="0" borderId="42" xfId="90" applyFont="1" applyFill="1" applyBorder="1" applyAlignment="1" applyProtection="1">
      <alignment horizontal="center" vertical="center" shrinkToFit="1"/>
      <protection/>
    </xf>
    <xf numFmtId="10" fontId="104" fillId="0" borderId="42" xfId="57" applyNumberFormat="1" applyFont="1" applyFill="1" applyBorder="1" applyAlignment="1" applyProtection="1">
      <alignment horizontal="center" vertical="center" shrinkToFit="1"/>
      <protection/>
    </xf>
    <xf numFmtId="10" fontId="104" fillId="0" borderId="43" xfId="58" applyFont="1" applyFill="1" applyBorder="1" applyAlignment="1" applyProtection="1">
      <alignment horizontal="left" vertical="top" wrapText="1" shrinkToFit="1"/>
      <protection/>
    </xf>
    <xf numFmtId="0" fontId="104" fillId="0" borderId="32" xfId="56" applyNumberFormat="1" applyFont="1" applyFill="1" applyBorder="1" applyAlignment="1" applyProtection="1">
      <alignment horizontal="left" vertical="center" wrapText="1"/>
      <protection/>
    </xf>
    <xf numFmtId="49" fontId="104" fillId="0" borderId="5" xfId="46" applyFont="1" applyFill="1" applyBorder="1" applyAlignment="1" applyProtection="1">
      <alignment horizontal="left" vertical="center"/>
      <protection/>
    </xf>
    <xf numFmtId="4" fontId="104" fillId="0" borderId="5" xfId="57" applyFont="1" applyFill="1" applyBorder="1" applyAlignment="1" applyProtection="1">
      <alignment horizontal="center" vertical="center" shrinkToFit="1"/>
      <protection/>
    </xf>
    <xf numFmtId="43" fontId="104" fillId="0" borderId="5" xfId="90" applyFont="1" applyFill="1" applyBorder="1" applyAlignment="1" applyProtection="1">
      <alignment horizontal="center" vertical="center" shrinkToFit="1"/>
      <protection/>
    </xf>
    <xf numFmtId="10" fontId="104" fillId="0" borderId="5" xfId="57" applyNumberFormat="1" applyFont="1" applyFill="1" applyBorder="1" applyAlignment="1" applyProtection="1">
      <alignment horizontal="center" vertical="center" shrinkToFit="1"/>
      <protection/>
    </xf>
    <xf numFmtId="10" fontId="104" fillId="0" borderId="34" xfId="58" applyFont="1" applyFill="1" applyBorder="1" applyAlignment="1" applyProtection="1">
      <alignment horizontal="left" vertical="center" wrapText="1" shrinkToFit="1"/>
      <protection/>
    </xf>
    <xf numFmtId="10" fontId="104" fillId="0" borderId="37" xfId="58" applyFont="1" applyFill="1" applyBorder="1" applyAlignment="1" applyProtection="1">
      <alignment horizontal="left" vertical="center" shrinkToFit="1"/>
      <protection/>
    </xf>
    <xf numFmtId="164" fontId="104" fillId="0" borderId="2" xfId="90" applyNumberFormat="1" applyFont="1" applyFill="1" applyBorder="1" applyAlignment="1" applyProtection="1">
      <alignment horizontal="center" vertical="center" shrinkToFit="1"/>
      <protection/>
    </xf>
    <xf numFmtId="0" fontId="104" fillId="0" borderId="48" xfId="54" applyNumberFormat="1" applyFont="1" applyFill="1" applyBorder="1" applyAlignment="1" applyProtection="1">
      <alignment horizontal="center" vertical="center"/>
      <protection/>
    </xf>
    <xf numFmtId="0" fontId="104" fillId="0" borderId="17" xfId="54" applyNumberFormat="1" applyFont="1" applyFill="1" applyBorder="1" applyAlignment="1" applyProtection="1">
      <alignment horizontal="center" vertical="center"/>
      <protection/>
    </xf>
    <xf numFmtId="0" fontId="104" fillId="0" borderId="22" xfId="54" applyNumberFormat="1" applyFont="1" applyFill="1" applyBorder="1" applyAlignment="1" applyProtection="1">
      <alignment horizontal="center" vertical="center"/>
      <protection/>
    </xf>
    <xf numFmtId="43" fontId="104" fillId="0" borderId="17" xfId="90" applyFont="1" applyFill="1" applyBorder="1" applyAlignment="1" applyProtection="1">
      <alignment horizontal="center" vertical="center"/>
      <protection/>
    </xf>
    <xf numFmtId="43" fontId="38" fillId="0" borderId="17" xfId="90" applyFont="1" applyFill="1" applyBorder="1" applyAlignment="1" applyProtection="1">
      <alignment horizontal="center" vertical="center"/>
      <protection locked="0"/>
    </xf>
    <xf numFmtId="43" fontId="104" fillId="0" borderId="28" xfId="90" applyFont="1" applyFill="1" applyBorder="1" applyAlignment="1" applyProtection="1">
      <alignment horizontal="center" vertical="center"/>
      <protection/>
    </xf>
    <xf numFmtId="0" fontId="38" fillId="0" borderId="22" xfId="0" applyFont="1" applyFill="1" applyBorder="1" applyAlignment="1" applyProtection="1">
      <alignment horizontal="center" vertical="center"/>
      <protection locked="0"/>
    </xf>
    <xf numFmtId="0" fontId="38" fillId="0" borderId="49" xfId="0" applyFont="1" applyFill="1" applyBorder="1" applyAlignment="1" applyProtection="1">
      <alignment horizontal="left" vertical="center"/>
      <protection locked="0"/>
    </xf>
    <xf numFmtId="4" fontId="38" fillId="0" borderId="0" xfId="0" applyNumberFormat="1" applyFont="1" applyFill="1" applyAlignment="1" applyProtection="1">
      <alignment horizontal="center" vertical="center"/>
      <protection locked="0"/>
    </xf>
    <xf numFmtId="0" fontId="104" fillId="0" borderId="16" xfId="44" applyFont="1" applyFill="1" applyBorder="1" applyAlignment="1">
      <alignment horizontal="center" vertical="center" wrapText="1"/>
      <protection/>
    </xf>
    <xf numFmtId="0" fontId="104" fillId="0" borderId="60" xfId="44" applyFont="1" applyFill="1" applyBorder="1" applyAlignment="1">
      <alignment horizontal="center" vertical="center" wrapText="1"/>
      <protection/>
    </xf>
    <xf numFmtId="0" fontId="104" fillId="0" borderId="76" xfId="44" applyNumberFormat="1" applyFont="1" applyFill="1" applyBorder="1" applyAlignment="1" applyProtection="1">
      <alignment horizontal="center" vertical="center" wrapText="1"/>
      <protection/>
    </xf>
    <xf numFmtId="0" fontId="104" fillId="0" borderId="60" xfId="44" applyNumberFormat="1" applyFont="1" applyFill="1" applyBorder="1" applyAlignment="1" applyProtection="1">
      <alignment horizontal="center" vertical="center" wrapText="1"/>
      <protection/>
    </xf>
    <xf numFmtId="0" fontId="104" fillId="0" borderId="17" xfId="44" applyNumberFormat="1" applyFont="1" applyFill="1" applyBorder="1" applyAlignment="1" applyProtection="1">
      <alignment horizontal="center" vertical="center" wrapText="1"/>
      <protection/>
    </xf>
    <xf numFmtId="0" fontId="104" fillId="0" borderId="27" xfId="56" applyNumberFormat="1" applyFont="1" applyFill="1" applyBorder="1" applyAlignment="1" applyProtection="1">
      <alignment horizontal="left" vertical="center" wrapText="1"/>
      <protection/>
    </xf>
    <xf numFmtId="49" fontId="104" fillId="0" borderId="28" xfId="46" applyFont="1" applyFill="1" applyBorder="1" applyAlignment="1" applyProtection="1">
      <alignment horizontal="left" vertical="center"/>
      <protection/>
    </xf>
    <xf numFmtId="4" fontId="104" fillId="0" borderId="22" xfId="57" applyFont="1" applyFill="1" applyBorder="1" applyAlignment="1" applyProtection="1">
      <alignment horizontal="center" vertical="center" shrinkToFit="1"/>
      <protection/>
    </xf>
    <xf numFmtId="49" fontId="104" fillId="0" borderId="29" xfId="46" applyFont="1" applyFill="1" applyBorder="1" applyAlignment="1" applyProtection="1">
      <alignment horizontal="center" vertical="center" shrinkToFit="1"/>
      <protection/>
    </xf>
    <xf numFmtId="0" fontId="104" fillId="0" borderId="30" xfId="56" applyNumberFormat="1" applyFont="1" applyFill="1" applyBorder="1" applyAlignment="1" applyProtection="1">
      <alignment horizontal="left" vertical="center" wrapText="1"/>
      <protection/>
    </xf>
    <xf numFmtId="49" fontId="104" fillId="0" borderId="31" xfId="46" applyFont="1" applyFill="1" applyBorder="1" applyAlignment="1" applyProtection="1">
      <alignment horizontal="left" vertical="center"/>
      <protection/>
    </xf>
    <xf numFmtId="49" fontId="104" fillId="0" borderId="33" xfId="46" applyFont="1" applyFill="1" applyBorder="1" applyAlignment="1" applyProtection="1">
      <alignment horizontal="left" vertical="center"/>
      <protection/>
    </xf>
    <xf numFmtId="10" fontId="104" fillId="0" borderId="34" xfId="58" applyFont="1" applyFill="1" applyBorder="1" applyAlignment="1" applyProtection="1">
      <alignment horizontal="left" vertical="top" shrinkToFit="1"/>
      <protection/>
    </xf>
    <xf numFmtId="49" fontId="104" fillId="0" borderId="36" xfId="46" applyFont="1" applyFill="1" applyBorder="1" applyAlignment="1" applyProtection="1">
      <alignment horizontal="left" vertical="center"/>
      <protection/>
    </xf>
    <xf numFmtId="0" fontId="104" fillId="0" borderId="44" xfId="56" applyNumberFormat="1" applyFont="1" applyFill="1" applyBorder="1" applyAlignment="1" applyProtection="1">
      <alignment horizontal="left" vertical="center" wrapText="1"/>
      <protection/>
    </xf>
    <xf numFmtId="49" fontId="104" fillId="0" borderId="45" xfId="46" applyFont="1" applyFill="1" applyBorder="1" applyAlignment="1" applyProtection="1">
      <alignment horizontal="left" vertical="center"/>
      <protection/>
    </xf>
    <xf numFmtId="4" fontId="104" fillId="0" borderId="45" xfId="57" applyFont="1" applyFill="1" applyBorder="1" applyAlignment="1" applyProtection="1">
      <alignment horizontal="center" vertical="center" shrinkToFit="1"/>
      <protection/>
    </xf>
    <xf numFmtId="43" fontId="104" fillId="0" borderId="45" xfId="90" applyFont="1" applyFill="1" applyBorder="1" applyAlignment="1" applyProtection="1">
      <alignment horizontal="center" vertical="center" shrinkToFit="1"/>
      <protection/>
    </xf>
    <xf numFmtId="10" fontId="104" fillId="0" borderId="45" xfId="57" applyNumberFormat="1" applyFont="1" applyFill="1" applyBorder="1" applyAlignment="1" applyProtection="1">
      <alignment horizontal="center" vertical="center" shrinkToFit="1"/>
      <protection/>
    </xf>
    <xf numFmtId="10" fontId="104" fillId="0" borderId="46" xfId="58" applyFont="1" applyFill="1" applyBorder="1" applyAlignment="1" applyProtection="1">
      <alignment horizontal="left" vertical="center" shrinkToFit="1"/>
      <protection/>
    </xf>
    <xf numFmtId="4" fontId="104" fillId="0" borderId="17" xfId="52" applyFont="1" applyFill="1" applyBorder="1" applyAlignment="1" applyProtection="1">
      <alignment horizontal="center" vertical="center" shrinkToFit="1"/>
      <protection/>
    </xf>
    <xf numFmtId="43" fontId="104" fillId="0" borderId="17" xfId="90" applyFont="1" applyFill="1" applyBorder="1" applyAlignment="1" applyProtection="1">
      <alignment horizontal="center" vertical="center" shrinkToFit="1"/>
      <protection/>
    </xf>
    <xf numFmtId="10" fontId="104" fillId="0" borderId="38" xfId="57" applyNumberFormat="1" applyFont="1" applyFill="1" applyBorder="1" applyAlignment="1" applyProtection="1">
      <alignment horizontal="center" vertical="center" shrinkToFit="1"/>
      <protection/>
    </xf>
    <xf numFmtId="4" fontId="104" fillId="0" borderId="47" xfId="52" applyFont="1" applyFill="1" applyBorder="1" applyAlignment="1" applyProtection="1">
      <alignment horizontal="center" vertical="center" shrinkToFit="1"/>
      <protection/>
    </xf>
    <xf numFmtId="10" fontId="104" fillId="0" borderId="40" xfId="53" applyFont="1" applyFill="1" applyBorder="1" applyAlignment="1" applyProtection="1">
      <alignment horizontal="left" vertical="center" shrinkToFit="1"/>
      <protection/>
    </xf>
    <xf numFmtId="0" fontId="104" fillId="0" borderId="22" xfId="54" applyNumberFormat="1" applyFont="1" applyFill="1" applyBorder="1" applyAlignment="1" applyProtection="1">
      <alignment horizontal="left" vertical="center"/>
      <protection/>
    </xf>
    <xf numFmtId="0" fontId="104" fillId="0" borderId="50" xfId="39" applyNumberFormat="1" applyFont="1" applyFill="1" applyBorder="1" applyAlignment="1" applyProtection="1">
      <alignment vertical="center" wrapText="1"/>
      <protection/>
    </xf>
    <xf numFmtId="0" fontId="104" fillId="0" borderId="51" xfId="39" applyNumberFormat="1" applyFont="1" applyFill="1" applyBorder="1" applyAlignment="1" applyProtection="1">
      <alignment vertical="center" wrapText="1"/>
      <protection/>
    </xf>
    <xf numFmtId="4" fontId="104" fillId="0" borderId="17" xfId="39" applyNumberFormat="1" applyFont="1" applyFill="1" applyBorder="1" applyAlignment="1" applyProtection="1">
      <alignment horizontal="center" vertical="center" wrapText="1"/>
      <protection/>
    </xf>
    <xf numFmtId="43" fontId="38" fillId="0" borderId="52" xfId="0" applyNumberFormat="1" applyFont="1" applyFill="1" applyBorder="1" applyAlignment="1" applyProtection="1">
      <alignment horizontal="center" vertical="center"/>
      <protection locked="0"/>
    </xf>
    <xf numFmtId="10" fontId="104" fillId="0" borderId="53" xfId="57" applyNumberFormat="1" applyFont="1" applyFill="1" applyBorder="1" applyAlignment="1" applyProtection="1">
      <alignment horizontal="center" vertical="center" shrinkToFit="1"/>
      <protection/>
    </xf>
    <xf numFmtId="4" fontId="104" fillId="0" borderId="54" xfId="39" applyNumberFormat="1" applyFont="1" applyFill="1" applyBorder="1" applyAlignment="1" applyProtection="1">
      <alignment horizontal="center" vertical="center" wrapText="1"/>
      <protection/>
    </xf>
    <xf numFmtId="4" fontId="104" fillId="0" borderId="55" xfId="39" applyNumberFormat="1" applyFont="1" applyFill="1" applyBorder="1" applyAlignment="1" applyProtection="1">
      <alignment horizontal="center" vertical="center" wrapText="1"/>
      <protection/>
    </xf>
    <xf numFmtId="0" fontId="38" fillId="0" borderId="56" xfId="0" applyFont="1" applyFill="1" applyBorder="1" applyAlignment="1" applyProtection="1">
      <alignment horizontal="left" vertical="center"/>
      <protection locked="0"/>
    </xf>
    <xf numFmtId="49" fontId="103" fillId="10" borderId="17" xfId="46" applyFont="1" applyFill="1" applyBorder="1" applyAlignment="1" applyProtection="1">
      <alignment horizontal="center" vertical="center" shrinkToFit="1"/>
      <protection/>
    </xf>
    <xf numFmtId="0" fontId="103" fillId="10" borderId="35" xfId="56" applyNumberFormat="1" applyFont="1" applyFill="1" applyBorder="1" applyAlignment="1" applyProtection="1">
      <alignment horizontal="left" vertical="center" wrapText="1"/>
      <protection/>
    </xf>
    <xf numFmtId="49" fontId="103" fillId="10" borderId="2" xfId="46" applyFont="1" applyFill="1" applyBorder="1" applyAlignment="1" applyProtection="1">
      <alignment horizontal="left" vertical="center"/>
      <protection/>
    </xf>
    <xf numFmtId="4" fontId="103" fillId="10" borderId="2" xfId="57" applyFont="1" applyFill="1" applyBorder="1" applyAlignment="1" applyProtection="1">
      <alignment horizontal="center" vertical="center" shrinkToFit="1"/>
      <protection/>
    </xf>
    <xf numFmtId="0" fontId="105" fillId="0" borderId="77" xfId="44" applyNumberFormat="1" applyFont="1" applyFill="1" applyBorder="1" applyAlignment="1" applyProtection="1">
      <alignment horizontal="center" vertical="center" wrapText="1"/>
      <protection/>
    </xf>
    <xf numFmtId="0" fontId="105" fillId="0" borderId="78" xfId="42" applyNumberFormat="1" applyFont="1" applyFill="1" applyBorder="1" applyAlignment="1" applyProtection="1">
      <alignment horizontal="center" vertical="center"/>
      <protection/>
    </xf>
    <xf numFmtId="0" fontId="105" fillId="0" borderId="79" xfId="44" applyNumberFormat="1" applyFont="1" applyFill="1" applyBorder="1" applyAlignment="1" applyProtection="1">
      <alignment horizontal="center" vertical="center" wrapText="1"/>
      <protection/>
    </xf>
    <xf numFmtId="0" fontId="105" fillId="0" borderId="80" xfId="44" applyNumberFormat="1" applyFont="1" applyFill="1" applyBorder="1" applyAlignment="1" applyProtection="1">
      <alignment horizontal="center" vertical="center" wrapText="1"/>
      <protection/>
    </xf>
    <xf numFmtId="0" fontId="105" fillId="0" borderId="25" xfId="44" applyNumberFormat="1" applyFont="1" applyFill="1" applyBorder="1" applyAlignment="1" applyProtection="1">
      <alignment horizontal="center" vertical="center" wrapText="1"/>
      <protection/>
    </xf>
    <xf numFmtId="0" fontId="41" fillId="0" borderId="81" xfId="0" applyFont="1" applyFill="1" applyBorder="1" applyAlignment="1" applyProtection="1">
      <alignment horizontal="center" vertical="center" wrapText="1"/>
      <protection locked="0"/>
    </xf>
    <xf numFmtId="0" fontId="41" fillId="0" borderId="82" xfId="0" applyFont="1" applyFill="1" applyBorder="1" applyAlignment="1" applyProtection="1">
      <alignment horizontal="center" vertical="center" wrapText="1"/>
      <protection locked="0"/>
    </xf>
    <xf numFmtId="0" fontId="41" fillId="0" borderId="0" xfId="0" applyFont="1" applyFill="1" applyAlignment="1" applyProtection="1">
      <alignment horizontal="center" vertical="center"/>
      <protection locked="0"/>
    </xf>
    <xf numFmtId="49" fontId="106" fillId="0" borderId="16" xfId="46" applyFont="1" applyFill="1" applyBorder="1" applyAlignment="1" applyProtection="1">
      <alignment horizontal="center" vertical="center" shrinkToFit="1"/>
      <protection/>
    </xf>
    <xf numFmtId="49" fontId="106" fillId="0" borderId="17" xfId="46" applyFont="1" applyFill="1" applyBorder="1" applyAlignment="1" applyProtection="1">
      <alignment horizontal="center" vertical="center" shrinkToFit="1"/>
      <protection/>
    </xf>
    <xf numFmtId="0" fontId="106" fillId="0" borderId="35" xfId="56" applyNumberFormat="1" applyFont="1" applyFill="1" applyBorder="1" applyAlignment="1" applyProtection="1">
      <alignment horizontal="left" vertical="center" wrapText="1"/>
      <protection/>
    </xf>
    <xf numFmtId="49" fontId="106" fillId="0" borderId="2" xfId="46" applyFont="1" applyFill="1" applyBorder="1" applyAlignment="1" applyProtection="1">
      <alignment horizontal="left" vertical="center"/>
      <protection/>
    </xf>
    <xf numFmtId="4" fontId="106" fillId="0" borderId="2" xfId="57" applyFont="1" applyFill="1" applyBorder="1" applyAlignment="1" applyProtection="1">
      <alignment horizontal="center" vertical="center" shrinkToFit="1"/>
      <protection/>
    </xf>
    <xf numFmtId="10" fontId="106" fillId="0" borderId="37" xfId="58" applyFont="1" applyFill="1" applyBorder="1" applyAlignment="1" applyProtection="1">
      <alignment horizontal="left" vertical="top" wrapText="1" shrinkToFit="1"/>
      <protection/>
    </xf>
    <xf numFmtId="0" fontId="46" fillId="0" borderId="0" xfId="0" applyFont="1" applyFill="1" applyAlignment="1" applyProtection="1">
      <alignment horizontal="center" vertical="center"/>
      <protection locked="0"/>
    </xf>
    <xf numFmtId="4" fontId="107" fillId="10" borderId="45" xfId="57" applyFont="1" applyFill="1" applyBorder="1" applyAlignment="1" applyProtection="1">
      <alignment horizontal="center" vertical="center" shrinkToFit="1"/>
      <protection/>
    </xf>
    <xf numFmtId="10" fontId="107" fillId="10" borderId="45" xfId="57" applyNumberFormat="1" applyFont="1" applyFill="1" applyBorder="1" applyAlignment="1" applyProtection="1">
      <alignment horizontal="center" vertical="center" shrinkToFit="1"/>
      <protection/>
    </xf>
    <xf numFmtId="4" fontId="107" fillId="10" borderId="46" xfId="57" applyFont="1" applyFill="1" applyBorder="1" applyAlignment="1" applyProtection="1">
      <alignment horizontal="center" vertical="center" shrinkToFit="1"/>
      <protection/>
    </xf>
    <xf numFmtId="4" fontId="107" fillId="10" borderId="24" xfId="57" applyFont="1" applyFill="1" applyBorder="1" applyAlignment="1" applyProtection="1">
      <alignment horizontal="center" vertical="center" shrinkToFit="1"/>
      <protection/>
    </xf>
    <xf numFmtId="10" fontId="107" fillId="10" borderId="24" xfId="57" applyNumberFormat="1" applyFont="1" applyFill="1" applyBorder="1" applyAlignment="1" applyProtection="1">
      <alignment horizontal="center" vertical="center" shrinkToFit="1"/>
      <protection/>
    </xf>
    <xf numFmtId="4" fontId="108" fillId="0" borderId="22" xfId="57" applyFont="1" applyFill="1" applyBorder="1" applyAlignment="1" applyProtection="1">
      <alignment horizontal="center" vertical="center" shrinkToFit="1"/>
      <protection/>
    </xf>
    <xf numFmtId="43" fontId="108" fillId="0" borderId="22" xfId="90" applyFont="1" applyFill="1" applyBorder="1" applyAlignment="1" applyProtection="1">
      <alignment horizontal="center" vertical="center" shrinkToFit="1"/>
      <protection/>
    </xf>
    <xf numFmtId="10" fontId="108" fillId="0" borderId="28" xfId="57" applyNumberFormat="1" applyFont="1" applyFill="1" applyBorder="1" applyAlignment="1" applyProtection="1">
      <alignment horizontal="center" vertical="center" shrinkToFit="1"/>
      <protection/>
    </xf>
    <xf numFmtId="4" fontId="108" fillId="0" borderId="28" xfId="57" applyFont="1" applyFill="1" applyBorder="1" applyAlignment="1" applyProtection="1">
      <alignment horizontal="center" vertical="center" shrinkToFit="1"/>
      <protection/>
    </xf>
    <xf numFmtId="4" fontId="108" fillId="0" borderId="22" xfId="53" applyNumberFormat="1" applyFont="1" applyFill="1" applyBorder="1" applyAlignment="1" applyProtection="1">
      <alignment horizontal="center" vertical="center" shrinkToFit="1"/>
      <protection/>
    </xf>
    <xf numFmtId="4" fontId="108" fillId="0" borderId="30" xfId="57" applyFont="1" applyFill="1" applyBorder="1" applyAlignment="1" applyProtection="1">
      <alignment horizontal="center" vertical="center" shrinkToFit="1"/>
      <protection/>
    </xf>
    <xf numFmtId="43" fontId="108" fillId="0" borderId="29" xfId="90" applyFont="1" applyFill="1" applyBorder="1" applyAlignment="1" applyProtection="1">
      <alignment horizontal="center" vertical="center" shrinkToFit="1"/>
      <protection/>
    </xf>
    <xf numFmtId="10" fontId="108" fillId="0" borderId="31" xfId="57" applyNumberFormat="1" applyFont="1" applyFill="1" applyBorder="1" applyAlignment="1" applyProtection="1">
      <alignment horizontal="center" vertical="center" shrinkToFit="1"/>
      <protection/>
    </xf>
    <xf numFmtId="4" fontId="108" fillId="0" borderId="31" xfId="57" applyFont="1" applyFill="1" applyBorder="1" applyAlignment="1" applyProtection="1">
      <alignment horizontal="center" vertical="center" shrinkToFit="1"/>
      <protection/>
    </xf>
    <xf numFmtId="4" fontId="108" fillId="0" borderId="29" xfId="57" applyFont="1" applyFill="1" applyBorder="1" applyAlignment="1" applyProtection="1">
      <alignment horizontal="center" vertical="center" shrinkToFit="1"/>
      <protection/>
    </xf>
    <xf numFmtId="4" fontId="108" fillId="0" borderId="5" xfId="57" applyFont="1" applyFill="1" applyBorder="1" applyAlignment="1" applyProtection="1">
      <alignment horizontal="center" vertical="center" shrinkToFit="1"/>
      <protection/>
    </xf>
    <xf numFmtId="43" fontId="108" fillId="0" borderId="33" xfId="90" applyFont="1" applyFill="1" applyBorder="1" applyAlignment="1" applyProtection="1">
      <alignment horizontal="center" vertical="center" shrinkToFit="1"/>
      <protection/>
    </xf>
    <xf numFmtId="10" fontId="108" fillId="0" borderId="29" xfId="57" applyNumberFormat="1" applyFont="1" applyFill="1" applyBorder="1" applyAlignment="1" applyProtection="1">
      <alignment horizontal="center" vertical="center" shrinkToFit="1"/>
      <protection/>
    </xf>
    <xf numFmtId="10" fontId="108" fillId="0" borderId="5" xfId="57" applyNumberFormat="1" applyFont="1" applyFill="1" applyBorder="1" applyAlignment="1" applyProtection="1">
      <alignment horizontal="center" vertical="center" shrinkToFit="1"/>
      <protection/>
    </xf>
    <xf numFmtId="4" fontId="108" fillId="0" borderId="32" xfId="57" applyFont="1" applyFill="1" applyBorder="1" applyAlignment="1" applyProtection="1">
      <alignment horizontal="center" vertical="center" shrinkToFit="1"/>
      <protection/>
    </xf>
    <xf numFmtId="4" fontId="108" fillId="0" borderId="2" xfId="57" applyFont="1" applyFill="1" applyBorder="1" applyAlignment="1" applyProtection="1">
      <alignment horizontal="center" vertical="center" shrinkToFit="1"/>
      <protection/>
    </xf>
    <xf numFmtId="43" fontId="108" fillId="0" borderId="36" xfId="90" applyFont="1" applyFill="1" applyBorder="1" applyAlignment="1" applyProtection="1">
      <alignment horizontal="center" vertical="center" shrinkToFit="1"/>
      <protection/>
    </xf>
    <xf numFmtId="10" fontId="108" fillId="0" borderId="17" xfId="57" applyNumberFormat="1" applyFont="1" applyFill="1" applyBorder="1" applyAlignment="1" applyProtection="1">
      <alignment horizontal="center" vertical="center" shrinkToFit="1"/>
      <protection/>
    </xf>
    <xf numFmtId="10" fontId="108" fillId="0" borderId="2" xfId="57" applyNumberFormat="1" applyFont="1" applyFill="1" applyBorder="1" applyAlignment="1" applyProtection="1">
      <alignment horizontal="center" vertical="center" shrinkToFit="1"/>
      <protection/>
    </xf>
    <xf numFmtId="4" fontId="108" fillId="0" borderId="35" xfId="57" applyFont="1" applyFill="1" applyBorder="1" applyAlignment="1" applyProtection="1">
      <alignment horizontal="center" vertical="center" shrinkToFit="1"/>
      <protection/>
    </xf>
    <xf numFmtId="43" fontId="108" fillId="0" borderId="2" xfId="90" applyFont="1" applyFill="1" applyBorder="1" applyAlignment="1" applyProtection="1">
      <alignment horizontal="center" vertical="center" shrinkToFit="1"/>
      <protection/>
    </xf>
    <xf numFmtId="4" fontId="109" fillId="0" borderId="2" xfId="57" applyFont="1" applyFill="1" applyBorder="1" applyAlignment="1" applyProtection="1">
      <alignment horizontal="center" vertical="center" shrinkToFit="1"/>
      <protection/>
    </xf>
    <xf numFmtId="43" fontId="109" fillId="0" borderId="2" xfId="90" applyFont="1" applyFill="1" applyBorder="1" applyAlignment="1" applyProtection="1">
      <alignment horizontal="center" vertical="center" shrinkToFit="1"/>
      <protection/>
    </xf>
    <xf numFmtId="10" fontId="109" fillId="0" borderId="2" xfId="57" applyNumberFormat="1" applyFont="1" applyFill="1" applyBorder="1" applyAlignment="1" applyProtection="1">
      <alignment horizontal="center" vertical="center" shrinkToFit="1"/>
      <protection/>
    </xf>
    <xf numFmtId="4" fontId="107" fillId="10" borderId="2" xfId="57" applyFont="1" applyFill="1" applyBorder="1" applyAlignment="1" applyProtection="1">
      <alignment horizontal="center" vertical="center" shrinkToFit="1"/>
      <protection/>
    </xf>
    <xf numFmtId="10" fontId="107" fillId="10" borderId="2" xfId="57" applyNumberFormat="1" applyFont="1" applyFill="1" applyBorder="1" applyAlignment="1" applyProtection="1">
      <alignment horizontal="center" vertical="center" shrinkToFit="1"/>
      <protection/>
    </xf>
    <xf numFmtId="0" fontId="68" fillId="36" borderId="16" xfId="44" applyFont="1" applyFill="1" applyBorder="1" applyAlignment="1">
      <alignment horizontal="center" vertical="center" wrapText="1"/>
      <protection/>
    </xf>
    <xf numFmtId="0" fontId="68" fillId="36" borderId="17" xfId="44" applyNumberFormat="1" applyFont="1" applyFill="1" applyBorder="1" applyAlignment="1" applyProtection="1">
      <alignment horizontal="center" vertical="center" wrapText="1"/>
      <protection/>
    </xf>
    <xf numFmtId="49" fontId="104" fillId="0" borderId="83" xfId="51" applyFont="1" applyFill="1" applyBorder="1" applyAlignment="1" applyProtection="1">
      <alignment horizontal="center" vertical="center" shrinkToFit="1"/>
      <protection/>
    </xf>
    <xf numFmtId="49" fontId="104" fillId="0" borderId="23" xfId="51" applyFont="1" applyFill="1" applyBorder="1" applyAlignment="1" applyProtection="1">
      <alignment horizontal="center" vertical="center" shrinkToFit="1"/>
      <protection/>
    </xf>
    <xf numFmtId="49" fontId="104" fillId="0" borderId="39" xfId="51" applyFont="1" applyFill="1" applyBorder="1" applyAlignment="1">
      <alignment horizontal="center" vertical="center" shrinkToFit="1"/>
      <protection/>
    </xf>
    <xf numFmtId="49" fontId="104" fillId="0" borderId="47" xfId="51" applyFont="1" applyFill="1" applyBorder="1" applyAlignment="1">
      <alignment horizontal="center" vertical="center" shrinkToFit="1"/>
      <protection/>
    </xf>
    <xf numFmtId="0" fontId="104" fillId="0" borderId="0" xfId="39" applyNumberFormat="1" applyFont="1" applyFill="1" applyAlignment="1" applyProtection="1">
      <alignment horizontal="center" vertical="center" wrapText="1"/>
      <protection/>
    </xf>
    <xf numFmtId="0" fontId="104" fillId="0" borderId="0" xfId="39" applyFont="1" applyFill="1" applyAlignment="1">
      <alignment horizontal="center" vertical="center" wrapText="1"/>
      <protection/>
    </xf>
    <xf numFmtId="0" fontId="107" fillId="0" borderId="0" xfId="40" applyNumberFormat="1" applyFont="1" applyFill="1" applyAlignment="1" applyProtection="1">
      <alignment horizontal="center" vertical="center" wrapText="1"/>
      <protection/>
    </xf>
    <xf numFmtId="0" fontId="104" fillId="0" borderId="0" xfId="41" applyNumberFormat="1" applyFont="1" applyFill="1" applyAlignment="1" applyProtection="1">
      <alignment horizontal="center" vertical="center"/>
      <protection/>
    </xf>
    <xf numFmtId="0" fontId="104" fillId="0" borderId="0" xfId="41" applyFont="1" applyFill="1" applyAlignment="1">
      <alignment horizontal="center" vertical="center"/>
      <protection/>
    </xf>
    <xf numFmtId="0" fontId="104" fillId="0" borderId="0" xfId="42" applyNumberFormat="1" applyFont="1" applyFill="1" applyAlignment="1" applyProtection="1">
      <alignment horizontal="right" vertical="center"/>
      <protection/>
    </xf>
    <xf numFmtId="49" fontId="87" fillId="3" borderId="83" xfId="51" applyFont="1" applyFill="1" applyBorder="1" applyAlignment="1" applyProtection="1">
      <alignment horizontal="center" vertical="center" shrinkToFit="1"/>
      <protection/>
    </xf>
    <xf numFmtId="49" fontId="87" fillId="3" borderId="23" xfId="51" applyFont="1" applyFill="1" applyBorder="1" applyAlignment="1" applyProtection="1">
      <alignment horizontal="center" vertical="center" shrinkToFit="1"/>
      <protection/>
    </xf>
    <xf numFmtId="49" fontId="87" fillId="3" borderId="39" xfId="51" applyFont="1" applyFill="1" applyBorder="1" applyAlignment="1">
      <alignment horizontal="center" vertical="center" shrinkToFit="1"/>
      <protection/>
    </xf>
    <xf numFmtId="49" fontId="87" fillId="3" borderId="47" xfId="51" applyFont="1" applyFill="1" applyBorder="1" applyAlignment="1">
      <alignment horizontal="center" vertical="center" shrinkToFit="1"/>
      <protection/>
    </xf>
    <xf numFmtId="0" fontId="6" fillId="36" borderId="84" xfId="0" applyFont="1" applyFill="1" applyBorder="1" applyAlignment="1" applyProtection="1">
      <alignment horizontal="center" vertical="center" wrapText="1"/>
      <protection locked="0"/>
    </xf>
    <xf numFmtId="0" fontId="6" fillId="36" borderId="69" xfId="0" applyFont="1" applyFill="1" applyBorder="1" applyAlignment="1" applyProtection="1">
      <alignment horizontal="center" vertical="center" wrapText="1"/>
      <protection locked="0"/>
    </xf>
    <xf numFmtId="0" fontId="68" fillId="36" borderId="16" xfId="44" applyNumberFormat="1" applyFont="1" applyFill="1" applyBorder="1" applyAlignment="1" applyProtection="1">
      <alignment horizontal="center" vertical="center" wrapText="1"/>
      <protection/>
    </xf>
    <xf numFmtId="0" fontId="68" fillId="36" borderId="16" xfId="44" applyFont="1" applyFill="1" applyBorder="1" applyAlignment="1">
      <alignment horizontal="center" vertical="center" wrapText="1"/>
      <protection/>
    </xf>
    <xf numFmtId="0" fontId="68" fillId="36" borderId="42" xfId="44" applyNumberFormat="1" applyFont="1" applyFill="1" applyBorder="1" applyAlignment="1" applyProtection="1">
      <alignment horizontal="center" vertical="center" wrapText="1"/>
      <protection/>
    </xf>
    <xf numFmtId="0" fontId="68" fillId="36" borderId="85" xfId="44" applyNumberFormat="1" applyFont="1" applyFill="1" applyBorder="1" applyAlignment="1" applyProtection="1">
      <alignment horizontal="center" vertical="center" wrapText="1"/>
      <protection/>
    </xf>
    <xf numFmtId="0" fontId="68" fillId="36" borderId="5" xfId="44" applyNumberFormat="1" applyFont="1" applyFill="1" applyBorder="1" applyAlignment="1" applyProtection="1">
      <alignment horizontal="center" vertical="center" wrapText="1"/>
      <protection/>
    </xf>
    <xf numFmtId="0" fontId="68" fillId="36" borderId="39" xfId="44" applyFont="1" applyFill="1" applyBorder="1" applyAlignment="1">
      <alignment horizontal="center" vertical="center" wrapText="1"/>
      <protection/>
    </xf>
    <xf numFmtId="0" fontId="68" fillId="36" borderId="24" xfId="44" applyNumberFormat="1" applyFont="1" applyFill="1" applyBorder="1" applyAlignment="1" applyProtection="1">
      <alignment horizontal="center" vertical="center" wrapText="1"/>
      <protection/>
    </xf>
    <xf numFmtId="0" fontId="68" fillId="36" borderId="33" xfId="44" applyNumberFormat="1" applyFont="1" applyFill="1" applyBorder="1" applyAlignment="1" applyProtection="1">
      <alignment horizontal="center" vertical="center" wrapText="1"/>
      <protection/>
    </xf>
    <xf numFmtId="0" fontId="68" fillId="36" borderId="47" xfId="44" applyFont="1" applyFill="1" applyBorder="1" applyAlignment="1">
      <alignment horizontal="center" vertical="center" wrapText="1"/>
      <protection/>
    </xf>
    <xf numFmtId="0" fontId="68" fillId="0" borderId="5" xfId="44" applyNumberFormat="1" applyFont="1" applyFill="1" applyBorder="1" applyAlignment="1" applyProtection="1">
      <alignment horizontal="center" vertical="center" wrapText="1"/>
      <protection/>
    </xf>
    <xf numFmtId="0" fontId="68" fillId="0" borderId="39" xfId="44" applyFont="1" applyFill="1" applyBorder="1" applyAlignment="1">
      <alignment horizontal="center" vertical="center" wrapText="1"/>
      <protection/>
    </xf>
    <xf numFmtId="0" fontId="68" fillId="36" borderId="42" xfId="44" applyNumberFormat="1" applyFont="1" applyFill="1" applyBorder="1" applyAlignment="1" applyProtection="1">
      <alignment horizontal="center" vertical="center" wrapText="1"/>
      <protection/>
    </xf>
    <xf numFmtId="0" fontId="68" fillId="36" borderId="17" xfId="42" applyNumberFormat="1" applyFont="1" applyFill="1" applyBorder="1" applyAlignment="1" applyProtection="1">
      <alignment horizontal="center" vertical="center"/>
      <protection/>
    </xf>
    <xf numFmtId="0" fontId="68" fillId="36" borderId="86" xfId="44" applyNumberFormat="1" applyFont="1" applyFill="1" applyBorder="1" applyAlignment="1" applyProtection="1">
      <alignment horizontal="center" vertical="center" wrapText="1"/>
      <protection/>
    </xf>
    <xf numFmtId="0" fontId="68" fillId="36" borderId="76" xfId="44" applyNumberFormat="1" applyFont="1" applyFill="1" applyBorder="1" applyAlignment="1" applyProtection="1">
      <alignment horizontal="center" vertical="center" wrapText="1"/>
      <protection/>
    </xf>
    <xf numFmtId="0" fontId="68" fillId="36" borderId="87" xfId="44" applyNumberFormat="1" applyFont="1" applyFill="1" applyBorder="1" applyAlignment="1" applyProtection="1">
      <alignment horizontal="center" vertical="center" wrapText="1"/>
      <protection/>
    </xf>
    <xf numFmtId="0" fontId="68" fillId="36" borderId="17" xfId="44" applyNumberFormat="1" applyFont="1" applyFill="1" applyBorder="1" applyAlignment="1" applyProtection="1">
      <alignment horizontal="center" vertical="center" wrapText="1"/>
      <protection/>
    </xf>
    <xf numFmtId="0" fontId="68" fillId="36" borderId="22" xfId="44" applyNumberFormat="1" applyFont="1" applyFill="1" applyBorder="1" applyAlignment="1" applyProtection="1">
      <alignment horizontal="center" vertical="center" wrapText="1"/>
      <protection/>
    </xf>
    <xf numFmtId="0" fontId="68" fillId="36" borderId="88" xfId="42" applyFont="1" applyFill="1" applyBorder="1" applyAlignment="1">
      <alignment horizontal="center" vertical="center"/>
      <protection/>
    </xf>
    <xf numFmtId="0" fontId="68" fillId="36" borderId="89" xfId="42" applyFont="1" applyFill="1" applyBorder="1" applyAlignment="1">
      <alignment horizontal="center" vertical="center"/>
      <protection/>
    </xf>
    <xf numFmtId="0" fontId="68" fillId="36" borderId="90" xfId="42" applyFont="1" applyFill="1" applyBorder="1" applyAlignment="1">
      <alignment horizontal="center" vertical="center"/>
      <protection/>
    </xf>
    <xf numFmtId="0" fontId="6" fillId="36" borderId="79" xfId="0" applyFont="1" applyFill="1" applyBorder="1" applyAlignment="1" applyProtection="1">
      <alignment horizontal="center" vertical="center" wrapText="1"/>
      <protection locked="0"/>
    </xf>
    <xf numFmtId="0" fontId="6" fillId="36" borderId="60" xfId="0" applyFont="1" applyFill="1" applyBorder="1" applyAlignment="1" applyProtection="1">
      <alignment horizontal="center" vertical="center" wrapText="1"/>
      <protection locked="0"/>
    </xf>
    <xf numFmtId="0" fontId="66" fillId="36" borderId="0" xfId="39" applyNumberFormat="1" applyFont="1" applyFill="1" applyAlignment="1" applyProtection="1">
      <alignment horizontal="center" vertical="center" wrapText="1"/>
      <protection/>
    </xf>
    <xf numFmtId="0" fontId="66" fillId="36" borderId="0" xfId="39" applyFont="1" applyFill="1" applyAlignment="1">
      <alignment horizontal="center" vertical="center" wrapText="1"/>
      <protection/>
    </xf>
    <xf numFmtId="0" fontId="110" fillId="36" borderId="0" xfId="39" applyNumberFormat="1" applyFont="1" applyFill="1" applyAlignment="1" applyProtection="1">
      <alignment horizontal="center" vertical="center" wrapText="1"/>
      <protection/>
    </xf>
    <xf numFmtId="0" fontId="67" fillId="36" borderId="0" xfId="40" applyNumberFormat="1" applyFont="1" applyFill="1" applyAlignment="1" applyProtection="1">
      <alignment horizontal="center" vertical="center" wrapText="1"/>
      <protection/>
    </xf>
    <xf numFmtId="0" fontId="89" fillId="36" borderId="0" xfId="41" applyNumberFormat="1" applyFont="1" applyFill="1" applyAlignment="1" applyProtection="1">
      <alignment horizontal="center" vertical="center"/>
      <protection/>
    </xf>
    <xf numFmtId="0" fontId="89" fillId="36" borderId="0" xfId="41" applyFont="1" applyFill="1" applyAlignment="1">
      <alignment horizontal="center" vertical="center"/>
      <protection/>
    </xf>
    <xf numFmtId="0" fontId="68" fillId="36" borderId="0" xfId="42" applyNumberFormat="1" applyFont="1" applyFill="1" applyAlignment="1" applyProtection="1">
      <alignment horizontal="right" vertical="center"/>
      <protection/>
    </xf>
    <xf numFmtId="0" fontId="93" fillId="0" borderId="91" xfId="42" applyNumberFormat="1" applyFont="1" applyFill="1" applyBorder="1" applyAlignment="1" applyProtection="1">
      <alignment horizontal="right" vertical="center"/>
      <protection/>
    </xf>
    <xf numFmtId="0" fontId="93" fillId="0" borderId="0" xfId="39" applyNumberFormat="1" applyFont="1" applyFill="1" applyAlignment="1" applyProtection="1">
      <alignment horizontal="center" vertical="center" wrapText="1"/>
      <protection/>
    </xf>
    <xf numFmtId="0" fontId="93" fillId="0" borderId="0" xfId="39" applyFont="1" applyFill="1" applyAlignment="1">
      <alignment horizontal="center" vertical="center" wrapText="1"/>
      <protection/>
    </xf>
    <xf numFmtId="0" fontId="93" fillId="0" borderId="0" xfId="39" applyNumberFormat="1" applyFont="1" applyFill="1" applyAlignment="1" applyProtection="1">
      <alignment horizontal="center" vertical="center" wrapText="1"/>
      <protection/>
    </xf>
    <xf numFmtId="0" fontId="95" fillId="0" borderId="0" xfId="40" applyNumberFormat="1" applyFont="1" applyFill="1" applyAlignment="1" applyProtection="1">
      <alignment horizontal="center" vertical="center" wrapText="1"/>
      <protection/>
    </xf>
    <xf numFmtId="0" fontId="93" fillId="0" borderId="0" xfId="41" applyNumberFormat="1" applyFont="1" applyFill="1" applyAlignment="1" applyProtection="1">
      <alignment horizontal="center" vertical="center"/>
      <protection/>
    </xf>
    <xf numFmtId="0" fontId="93" fillId="0" borderId="0" xfId="41" applyFont="1" applyFill="1" applyAlignment="1">
      <alignment horizontal="center" vertical="center"/>
      <protection/>
    </xf>
    <xf numFmtId="0" fontId="22" fillId="0" borderId="92" xfId="0" applyFont="1" applyFill="1" applyBorder="1" applyAlignment="1" applyProtection="1">
      <alignment horizontal="center" vertical="center" wrapText="1"/>
      <protection locked="0"/>
    </xf>
    <xf numFmtId="0" fontId="22" fillId="0" borderId="58" xfId="0" applyFont="1" applyFill="1" applyBorder="1" applyAlignment="1" applyProtection="1">
      <alignment horizontal="center" vertical="center" wrapText="1"/>
      <protection locked="0"/>
    </xf>
    <xf numFmtId="0" fontId="92" fillId="0" borderId="16" xfId="44" applyNumberFormat="1" applyFont="1" applyFill="1" applyBorder="1" applyAlignment="1" applyProtection="1">
      <alignment horizontal="center" vertical="center" wrapText="1"/>
      <protection/>
    </xf>
    <xf numFmtId="0" fontId="92" fillId="0" borderId="16" xfId="44" applyFont="1" applyFill="1" applyBorder="1" applyAlignment="1">
      <alignment horizontal="center" vertical="center" wrapText="1"/>
      <protection/>
    </xf>
    <xf numFmtId="49" fontId="93" fillId="0" borderId="83" xfId="51" applyFont="1" applyFill="1" applyBorder="1" applyAlignment="1" applyProtection="1">
      <alignment horizontal="center" vertical="center" shrinkToFit="1"/>
      <protection/>
    </xf>
    <xf numFmtId="49" fontId="93" fillId="0" borderId="23" xfId="51" applyFont="1" applyFill="1" applyBorder="1" applyAlignment="1" applyProtection="1">
      <alignment horizontal="center" vertical="center" shrinkToFit="1"/>
      <protection/>
    </xf>
    <xf numFmtId="49" fontId="93" fillId="0" borderId="39" xfId="51" applyFont="1" applyFill="1" applyBorder="1" applyAlignment="1">
      <alignment horizontal="center" vertical="center" shrinkToFit="1"/>
      <protection/>
    </xf>
    <xf numFmtId="49" fontId="93" fillId="0" borderId="47" xfId="51" applyFont="1" applyFill="1" applyBorder="1" applyAlignment="1">
      <alignment horizontal="center" vertical="center" shrinkToFit="1"/>
      <protection/>
    </xf>
    <xf numFmtId="0" fontId="92" fillId="0" borderId="93" xfId="42" applyNumberFormat="1" applyFont="1" applyFill="1" applyBorder="1" applyAlignment="1" applyProtection="1">
      <alignment horizontal="center" vertical="center"/>
      <protection/>
    </xf>
    <xf numFmtId="0" fontId="92" fillId="0" borderId="72" xfId="42" applyNumberFormat="1" applyFont="1" applyFill="1" applyBorder="1" applyAlignment="1" applyProtection="1">
      <alignment horizontal="center" vertical="center"/>
      <protection/>
    </xf>
    <xf numFmtId="0" fontId="101" fillId="0" borderId="86" xfId="44" applyNumberFormat="1" applyFont="1" applyFill="1" applyBorder="1" applyAlignment="1" applyProtection="1">
      <alignment horizontal="center" vertical="center" wrapText="1"/>
      <protection/>
    </xf>
    <xf numFmtId="0" fontId="101" fillId="0" borderId="76" xfId="44" applyNumberFormat="1" applyFont="1" applyFill="1" applyBorder="1" applyAlignment="1" applyProtection="1">
      <alignment horizontal="center" vertical="center" wrapText="1"/>
      <protection/>
    </xf>
    <xf numFmtId="0" fontId="101" fillId="0" borderId="87" xfId="44" applyNumberFormat="1" applyFont="1" applyFill="1" applyBorder="1" applyAlignment="1" applyProtection="1">
      <alignment horizontal="center" vertical="center" wrapText="1"/>
      <protection/>
    </xf>
    <xf numFmtId="0" fontId="101" fillId="0" borderId="17" xfId="44" applyNumberFormat="1" applyFont="1" applyFill="1" applyBorder="1" applyAlignment="1" applyProtection="1">
      <alignment horizontal="center" vertical="center" wrapText="1"/>
      <protection/>
    </xf>
    <xf numFmtId="0" fontId="101" fillId="0" borderId="22" xfId="44" applyNumberFormat="1" applyFont="1" applyFill="1" applyBorder="1" applyAlignment="1" applyProtection="1">
      <alignment horizontal="center" vertical="center" wrapText="1"/>
      <protection/>
    </xf>
    <xf numFmtId="14" fontId="101" fillId="0" borderId="94" xfId="42" applyNumberFormat="1" applyFont="1" applyFill="1" applyBorder="1" applyAlignment="1">
      <alignment horizontal="center" vertical="center"/>
      <protection/>
    </xf>
    <xf numFmtId="0" fontId="101" fillId="0" borderId="95" xfId="42" applyFont="1" applyFill="1" applyBorder="1" applyAlignment="1">
      <alignment horizontal="center" vertical="center"/>
      <protection/>
    </xf>
    <xf numFmtId="0" fontId="101" fillId="0" borderId="86" xfId="42" applyFont="1" applyFill="1" applyBorder="1" applyAlignment="1">
      <alignment horizontal="center" vertical="center"/>
      <protection/>
    </xf>
    <xf numFmtId="0" fontId="101" fillId="0" borderId="59" xfId="42" applyFont="1" applyFill="1" applyBorder="1" applyAlignment="1">
      <alignment horizontal="center" vertical="center"/>
      <protection/>
    </xf>
    <xf numFmtId="0" fontId="101" fillId="0" borderId="0" xfId="42" applyFont="1" applyFill="1" applyBorder="1" applyAlignment="1">
      <alignment horizontal="center" vertical="center"/>
      <protection/>
    </xf>
    <xf numFmtId="0" fontId="101" fillId="0" borderId="76" xfId="42" applyFont="1" applyFill="1" applyBorder="1" applyAlignment="1">
      <alignment horizontal="center" vertical="center"/>
      <protection/>
    </xf>
    <xf numFmtId="0" fontId="101" fillId="0" borderId="31" xfId="42" applyFont="1" applyFill="1" applyBorder="1" applyAlignment="1">
      <alignment horizontal="center" vertical="center"/>
      <protection/>
    </xf>
    <xf numFmtId="0" fontId="101" fillId="0" borderId="30" xfId="42" applyFont="1" applyFill="1" applyBorder="1" applyAlignment="1">
      <alignment horizontal="center" vertical="center"/>
      <protection/>
    </xf>
    <xf numFmtId="0" fontId="101" fillId="0" borderId="66" xfId="42" applyFont="1" applyFill="1" applyBorder="1" applyAlignment="1">
      <alignment horizontal="center" vertical="center"/>
      <protection/>
    </xf>
    <xf numFmtId="0" fontId="34" fillId="0" borderId="84" xfId="0" applyFont="1" applyFill="1" applyBorder="1" applyAlignment="1" applyProtection="1">
      <alignment horizontal="center" vertical="center" wrapText="1"/>
      <protection locked="0"/>
    </xf>
    <xf numFmtId="0" fontId="34" fillId="0" borderId="69" xfId="0" applyFont="1" applyFill="1" applyBorder="1" applyAlignment="1" applyProtection="1">
      <alignment horizontal="center" vertical="center" wrapText="1"/>
      <protection locked="0"/>
    </xf>
    <xf numFmtId="0" fontId="111" fillId="36" borderId="0" xfId="39" applyNumberFormat="1" applyFont="1" applyFill="1" applyAlignment="1" applyProtection="1">
      <alignment horizontal="center" vertical="center" wrapText="1"/>
      <protection/>
    </xf>
    <xf numFmtId="0" fontId="111" fillId="36" borderId="0" xfId="39" applyFont="1" applyFill="1" applyAlignment="1">
      <alignment horizontal="center" vertical="center" wrapText="1"/>
      <protection/>
    </xf>
  </cellXfs>
  <cellStyles count="7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xl40" xfId="57"/>
    <cellStyle name="xl41" xfId="58"/>
    <cellStyle name="xl42" xfId="59"/>
    <cellStyle name="xl43" xfId="60"/>
    <cellStyle name="xl44" xfId="61"/>
    <cellStyle name="xl45" xfId="62"/>
    <cellStyle name="xl50" xfId="63"/>
    <cellStyle name="xl51" xfId="64"/>
    <cellStyle name="Акцент1" xfId="65"/>
    <cellStyle name="Акцент2" xfId="66"/>
    <cellStyle name="Акцент3" xfId="67"/>
    <cellStyle name="Акцент4" xfId="68"/>
    <cellStyle name="Акцент5" xfId="69"/>
    <cellStyle name="Акцент6" xfId="70"/>
    <cellStyle name="Ввод " xfId="71"/>
    <cellStyle name="Вывод" xfId="72"/>
    <cellStyle name="Вычисление" xfId="73"/>
    <cellStyle name="Currency" xfId="74"/>
    <cellStyle name="Currency [0]" xfId="75"/>
    <cellStyle name="Заголовок 1" xfId="76"/>
    <cellStyle name="Заголовок 2" xfId="77"/>
    <cellStyle name="Заголовок 3" xfId="78"/>
    <cellStyle name="Заголовок 4" xfId="79"/>
    <cellStyle name="Итог" xfId="80"/>
    <cellStyle name="Контрольная ячейка" xfId="81"/>
    <cellStyle name="Название" xfId="82"/>
    <cellStyle name="Нейтральный" xfId="83"/>
    <cellStyle name="Плохой" xfId="84"/>
    <cellStyle name="Пояснение" xfId="85"/>
    <cellStyle name="Примечание" xfId="86"/>
    <cellStyle name="Percent" xfId="87"/>
    <cellStyle name="Связанная ячейка" xfId="88"/>
    <cellStyle name="Текст предупреждения" xfId="89"/>
    <cellStyle name="Comma" xfId="90"/>
    <cellStyle name="Comma [0]" xfId="91"/>
    <cellStyle name="Хороший"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04997999966144562"/>
    <pageSetUpPr fitToPage="1"/>
  </sheetPr>
  <dimension ref="A1:Q135"/>
  <sheetViews>
    <sheetView showGridLines="0" showZeros="0" view="pageBreakPreview" zoomScale="85" zoomScaleNormal="75" zoomScaleSheetLayoutView="85" zoomScalePageLayoutView="0" workbookViewId="0" topLeftCell="B1">
      <pane ySplit="7" topLeftCell="A37" activePane="bottomLeft" state="frozen"/>
      <selection pane="topLeft" activeCell="A1" sqref="A1"/>
      <selection pane="bottomLeft" activeCell="K78" sqref="K78"/>
    </sheetView>
  </sheetViews>
  <sheetFormatPr defaultColWidth="9.140625" defaultRowHeight="15" outlineLevelRow="5"/>
  <cols>
    <col min="1" max="1" width="9.140625" style="350" hidden="1" customWidth="1"/>
    <col min="2" max="2" width="9.28125" style="350" customWidth="1"/>
    <col min="3" max="3" width="62.421875" style="351" customWidth="1"/>
    <col min="4" max="4" width="18.00390625" style="350" hidden="1" customWidth="1"/>
    <col min="5" max="5" width="21.421875" style="350" hidden="1" customWidth="1"/>
    <col min="6" max="6" width="32.28125" style="350" customWidth="1"/>
    <col min="7" max="7" width="20.57421875" style="350" hidden="1" customWidth="1"/>
    <col min="8" max="8" width="10.28125" style="350" hidden="1" customWidth="1"/>
    <col min="9" max="9" width="20.28125" style="350" hidden="1" customWidth="1"/>
    <col min="10" max="10" width="17.57421875" style="350" hidden="1" customWidth="1"/>
    <col min="11" max="11" width="29.57421875" style="350" customWidth="1"/>
    <col min="12" max="12" width="19.140625" style="350" hidden="1" customWidth="1"/>
    <col min="13" max="13" width="14.28125" style="350" hidden="1" customWidth="1"/>
    <col min="14" max="14" width="21.140625" style="350" hidden="1" customWidth="1"/>
    <col min="15" max="15" width="13.8515625" style="350" hidden="1" customWidth="1"/>
    <col min="16" max="16" width="37.00390625" style="350" customWidth="1"/>
    <col min="17" max="17" width="50.28125" style="351" hidden="1" customWidth="1"/>
    <col min="18" max="16384" width="9.140625" style="350" customWidth="1"/>
  </cols>
  <sheetData>
    <row r="1" spans="1:4" ht="13.5" customHeight="1">
      <c r="A1" s="500"/>
      <c r="B1" s="500"/>
      <c r="C1" s="501"/>
      <c r="D1" s="501"/>
    </row>
    <row r="2" spans="1:4" ht="15" customHeight="1" hidden="1">
      <c r="A2" s="500"/>
      <c r="B2" s="500"/>
      <c r="C2" s="501"/>
      <c r="D2" s="501"/>
    </row>
    <row r="3" spans="1:5" ht="18" customHeight="1">
      <c r="A3" s="500"/>
      <c r="B3" s="500"/>
      <c r="C3" s="500"/>
      <c r="D3" s="500"/>
      <c r="E3" s="500"/>
    </row>
    <row r="4" spans="1:17" ht="39" customHeight="1">
      <c r="A4" s="502" t="s">
        <v>322</v>
      </c>
      <c r="B4" s="502"/>
      <c r="C4" s="502"/>
      <c r="D4" s="502"/>
      <c r="E4" s="502"/>
      <c r="F4" s="502"/>
      <c r="G4" s="502"/>
      <c r="H4" s="502"/>
      <c r="I4" s="502"/>
      <c r="J4" s="502"/>
      <c r="K4" s="502"/>
      <c r="L4" s="502"/>
      <c r="M4" s="502"/>
      <c r="N4" s="502"/>
      <c r="O4" s="502"/>
      <c r="P4" s="502"/>
      <c r="Q4" s="502"/>
    </row>
    <row r="5" spans="1:4" ht="0.75" customHeight="1">
      <c r="A5" s="503"/>
      <c r="B5" s="503"/>
      <c r="C5" s="504"/>
      <c r="D5" s="504"/>
    </row>
    <row r="6" spans="1:17" ht="30.75" customHeight="1" thickBot="1">
      <c r="A6" s="505" t="s">
        <v>309</v>
      </c>
      <c r="B6" s="505"/>
      <c r="C6" s="505"/>
      <c r="D6" s="505"/>
      <c r="E6" s="505"/>
      <c r="F6" s="505"/>
      <c r="G6" s="505"/>
      <c r="H6" s="505"/>
      <c r="I6" s="505"/>
      <c r="J6" s="505"/>
      <c r="K6" s="505"/>
      <c r="L6" s="505"/>
      <c r="M6" s="505"/>
      <c r="N6" s="505"/>
      <c r="O6" s="505"/>
      <c r="P6" s="505"/>
      <c r="Q6" s="505"/>
    </row>
    <row r="7" spans="1:17" s="455" customFormat="1" ht="82.5" customHeight="1">
      <c r="A7" s="448" t="s">
        <v>5</v>
      </c>
      <c r="B7" s="449"/>
      <c r="C7" s="450" t="s">
        <v>308</v>
      </c>
      <c r="D7" s="450"/>
      <c r="E7" s="451" t="s">
        <v>261</v>
      </c>
      <c r="F7" s="452" t="s">
        <v>324</v>
      </c>
      <c r="G7" s="452" t="s">
        <v>6</v>
      </c>
      <c r="H7" s="452" t="s">
        <v>7</v>
      </c>
      <c r="I7" s="452" t="s">
        <v>8</v>
      </c>
      <c r="J7" s="452" t="s">
        <v>9</v>
      </c>
      <c r="K7" s="452" t="s">
        <v>325</v>
      </c>
      <c r="L7" s="452" t="s">
        <v>304</v>
      </c>
      <c r="M7" s="452" t="s">
        <v>11</v>
      </c>
      <c r="N7" s="452" t="s">
        <v>305</v>
      </c>
      <c r="O7" s="452" t="s">
        <v>13</v>
      </c>
      <c r="P7" s="453" t="s">
        <v>303</v>
      </c>
      <c r="Q7" s="454"/>
    </row>
    <row r="8" spans="1:17" ht="21" customHeight="1">
      <c r="A8" s="410"/>
      <c r="B8" s="411">
        <v>1</v>
      </c>
      <c r="C8" s="412">
        <v>2</v>
      </c>
      <c r="D8" s="413">
        <v>2</v>
      </c>
      <c r="E8" s="413">
        <v>9</v>
      </c>
      <c r="F8" s="413">
        <v>3</v>
      </c>
      <c r="G8" s="413">
        <v>5</v>
      </c>
      <c r="H8" s="413">
        <v>6</v>
      </c>
      <c r="I8" s="413">
        <v>7</v>
      </c>
      <c r="J8" s="413">
        <v>8</v>
      </c>
      <c r="K8" s="413">
        <v>4</v>
      </c>
      <c r="L8" s="413">
        <v>10</v>
      </c>
      <c r="M8" s="413">
        <v>11</v>
      </c>
      <c r="N8" s="413">
        <v>12</v>
      </c>
      <c r="O8" s="413">
        <v>13</v>
      </c>
      <c r="P8" s="413">
        <v>5</v>
      </c>
      <c r="Q8" s="414">
        <v>15</v>
      </c>
    </row>
    <row r="9" spans="1:17" s="359" customFormat="1" ht="50.25" customHeight="1" hidden="1">
      <c r="A9" s="353" t="s">
        <v>14</v>
      </c>
      <c r="B9" s="354" t="s">
        <v>15</v>
      </c>
      <c r="C9" s="355" t="s">
        <v>277</v>
      </c>
      <c r="D9" s="356" t="s">
        <v>14</v>
      </c>
      <c r="E9" s="357">
        <f>E10+E78</f>
        <v>426113235.23999995</v>
      </c>
      <c r="F9" s="463">
        <v>219.8</v>
      </c>
      <c r="G9" s="463"/>
      <c r="H9" s="464"/>
      <c r="I9" s="463"/>
      <c r="J9" s="463"/>
      <c r="K9" s="463">
        <v>264.3</v>
      </c>
      <c r="L9" s="463">
        <f>K9-J9</f>
        <v>264.3</v>
      </c>
      <c r="M9" s="464" t="e">
        <f>K9/J9</f>
        <v>#DIV/0!</v>
      </c>
      <c r="N9" s="463">
        <f>K9-I9</f>
        <v>264.3</v>
      </c>
      <c r="O9" s="464" t="e">
        <f>K9/I9</f>
        <v>#DIV/0!</v>
      </c>
      <c r="P9" s="465">
        <f>K9-F9</f>
        <v>44.5</v>
      </c>
      <c r="Q9" s="358"/>
    </row>
    <row r="10" spans="1:17" s="359" customFormat="1" ht="39.75" customHeight="1">
      <c r="A10" s="353"/>
      <c r="B10" s="360" t="s">
        <v>307</v>
      </c>
      <c r="C10" s="361" t="s">
        <v>18</v>
      </c>
      <c r="D10" s="362"/>
      <c r="E10" s="363">
        <f>E11+E37+E38+E60+E64+E74</f>
        <v>352618682.34999996</v>
      </c>
      <c r="F10" s="466">
        <v>226.7</v>
      </c>
      <c r="G10" s="466"/>
      <c r="H10" s="467"/>
      <c r="I10" s="466"/>
      <c r="J10" s="466"/>
      <c r="K10" s="466">
        <v>222</v>
      </c>
      <c r="L10" s="466"/>
      <c r="M10" s="467"/>
      <c r="N10" s="466"/>
      <c r="O10" s="467"/>
      <c r="P10" s="466">
        <f>K10-F10</f>
        <v>-4.699999999999989</v>
      </c>
      <c r="Q10" s="364"/>
    </row>
    <row r="11" spans="1:17" ht="52.5" customHeight="1" outlineLevel="2">
      <c r="A11" s="376" t="s">
        <v>19</v>
      </c>
      <c r="B11" s="380" t="s">
        <v>310</v>
      </c>
      <c r="C11" s="415" t="s">
        <v>21</v>
      </c>
      <c r="D11" s="416" t="s">
        <v>19</v>
      </c>
      <c r="E11" s="417">
        <v>190630093.23</v>
      </c>
      <c r="F11" s="468">
        <v>128.1</v>
      </c>
      <c r="G11" s="469"/>
      <c r="H11" s="470"/>
      <c r="I11" s="471"/>
      <c r="J11" s="472"/>
      <c r="K11" s="468">
        <v>137</v>
      </c>
      <c r="L11" s="471"/>
      <c r="M11" s="470"/>
      <c r="N11" s="471"/>
      <c r="O11" s="470"/>
      <c r="P11" s="471">
        <f>K11-F11</f>
        <v>8.900000000000006</v>
      </c>
      <c r="Q11" s="366" t="s">
        <v>266</v>
      </c>
    </row>
    <row r="12" spans="1:17" ht="6.75" customHeight="1" hidden="1" outlineLevel="2">
      <c r="A12" s="376"/>
      <c r="B12" s="418"/>
      <c r="C12" s="419"/>
      <c r="D12" s="420"/>
      <c r="E12" s="395"/>
      <c r="F12" s="473"/>
      <c r="G12" s="474"/>
      <c r="H12" s="475"/>
      <c r="I12" s="476"/>
      <c r="J12" s="477"/>
      <c r="K12" s="477"/>
      <c r="L12" s="476"/>
      <c r="M12" s="475"/>
      <c r="N12" s="476"/>
      <c r="O12" s="475"/>
      <c r="P12" s="471">
        <f aca="true" t="shared" si="0" ref="P12:P64">K12-F12</f>
        <v>0</v>
      </c>
      <c r="Q12" s="367"/>
    </row>
    <row r="13" spans="1:17" ht="15.75" customHeight="1" hidden="1" outlineLevel="3">
      <c r="A13" s="376" t="s">
        <v>22</v>
      </c>
      <c r="B13" s="418"/>
      <c r="C13" s="393" t="s">
        <v>23</v>
      </c>
      <c r="D13" s="421" t="s">
        <v>22</v>
      </c>
      <c r="E13" s="372"/>
      <c r="F13" s="478"/>
      <c r="G13" s="479"/>
      <c r="H13" s="480"/>
      <c r="I13" s="478"/>
      <c r="J13" s="478"/>
      <c r="K13" s="478"/>
      <c r="L13" s="478"/>
      <c r="M13" s="481"/>
      <c r="N13" s="478"/>
      <c r="O13" s="481"/>
      <c r="P13" s="471">
        <f t="shared" si="0"/>
        <v>0</v>
      </c>
      <c r="Q13" s="422"/>
    </row>
    <row r="14" spans="1:17" ht="210" customHeight="1" hidden="1" outlineLevel="4">
      <c r="A14" s="376" t="s">
        <v>24</v>
      </c>
      <c r="B14" s="377"/>
      <c r="C14" s="370" t="s">
        <v>25</v>
      </c>
      <c r="D14" s="423" t="s">
        <v>24</v>
      </c>
      <c r="E14" s="372"/>
      <c r="F14" s="483"/>
      <c r="G14" s="484"/>
      <c r="H14" s="485"/>
      <c r="I14" s="483"/>
      <c r="J14" s="483"/>
      <c r="K14" s="483"/>
      <c r="L14" s="483"/>
      <c r="M14" s="486"/>
      <c r="N14" s="483"/>
      <c r="O14" s="486"/>
      <c r="P14" s="471">
        <f t="shared" si="0"/>
        <v>0</v>
      </c>
      <c r="Q14" s="378"/>
    </row>
    <row r="15" spans="1:17" ht="210" customHeight="1" hidden="1" outlineLevel="5">
      <c r="A15" s="376" t="s">
        <v>24</v>
      </c>
      <c r="B15" s="377"/>
      <c r="C15" s="370" t="s">
        <v>26</v>
      </c>
      <c r="D15" s="423" t="s">
        <v>24</v>
      </c>
      <c r="E15" s="372"/>
      <c r="F15" s="483"/>
      <c r="G15" s="484"/>
      <c r="H15" s="485"/>
      <c r="I15" s="483"/>
      <c r="J15" s="483"/>
      <c r="K15" s="483"/>
      <c r="L15" s="483"/>
      <c r="M15" s="486"/>
      <c r="N15" s="483"/>
      <c r="O15" s="486"/>
      <c r="P15" s="471">
        <f t="shared" si="0"/>
        <v>0</v>
      </c>
      <c r="Q15" s="378"/>
    </row>
    <row r="16" spans="1:17" ht="210" customHeight="1" hidden="1" outlineLevel="5">
      <c r="A16" s="376" t="s">
        <v>27</v>
      </c>
      <c r="B16" s="377"/>
      <c r="C16" s="370" t="s">
        <v>28</v>
      </c>
      <c r="D16" s="423" t="s">
        <v>27</v>
      </c>
      <c r="E16" s="372"/>
      <c r="F16" s="483"/>
      <c r="G16" s="484"/>
      <c r="H16" s="485"/>
      <c r="I16" s="483"/>
      <c r="J16" s="483"/>
      <c r="K16" s="483"/>
      <c r="L16" s="483"/>
      <c r="M16" s="486"/>
      <c r="N16" s="483"/>
      <c r="O16" s="486"/>
      <c r="P16" s="471">
        <f t="shared" si="0"/>
        <v>0</v>
      </c>
      <c r="Q16" s="378"/>
    </row>
    <row r="17" spans="1:17" ht="210" customHeight="1" hidden="1" outlineLevel="5">
      <c r="A17" s="376" t="s">
        <v>29</v>
      </c>
      <c r="B17" s="377"/>
      <c r="C17" s="370" t="s">
        <v>26</v>
      </c>
      <c r="D17" s="423" t="s">
        <v>29</v>
      </c>
      <c r="E17" s="372"/>
      <c r="F17" s="483"/>
      <c r="G17" s="484"/>
      <c r="H17" s="485"/>
      <c r="I17" s="483"/>
      <c r="J17" s="483"/>
      <c r="K17" s="483"/>
      <c r="L17" s="483"/>
      <c r="M17" s="486"/>
      <c r="N17" s="483"/>
      <c r="O17" s="486"/>
      <c r="P17" s="471">
        <f t="shared" si="0"/>
        <v>0</v>
      </c>
      <c r="Q17" s="378"/>
    </row>
    <row r="18" spans="1:17" ht="210" customHeight="1" hidden="1" outlineLevel="5">
      <c r="A18" s="376" t="s">
        <v>30</v>
      </c>
      <c r="B18" s="377"/>
      <c r="C18" s="370" t="s">
        <v>26</v>
      </c>
      <c r="D18" s="423" t="s">
        <v>30</v>
      </c>
      <c r="E18" s="372"/>
      <c r="F18" s="483"/>
      <c r="G18" s="484"/>
      <c r="H18" s="485"/>
      <c r="I18" s="483"/>
      <c r="J18" s="483"/>
      <c r="K18" s="483"/>
      <c r="L18" s="483"/>
      <c r="M18" s="486"/>
      <c r="N18" s="483"/>
      <c r="O18" s="486"/>
      <c r="P18" s="471">
        <f t="shared" si="0"/>
        <v>0</v>
      </c>
      <c r="Q18" s="378"/>
    </row>
    <row r="19" spans="1:17" ht="210" customHeight="1" hidden="1" outlineLevel="5">
      <c r="A19" s="376" t="s">
        <v>31</v>
      </c>
      <c r="B19" s="377"/>
      <c r="C19" s="370" t="s">
        <v>28</v>
      </c>
      <c r="D19" s="423" t="s">
        <v>31</v>
      </c>
      <c r="E19" s="372"/>
      <c r="F19" s="483"/>
      <c r="G19" s="484"/>
      <c r="H19" s="485"/>
      <c r="I19" s="483"/>
      <c r="J19" s="483"/>
      <c r="K19" s="483"/>
      <c r="L19" s="483"/>
      <c r="M19" s="486"/>
      <c r="N19" s="483"/>
      <c r="O19" s="486"/>
      <c r="P19" s="471">
        <f t="shared" si="0"/>
        <v>0</v>
      </c>
      <c r="Q19" s="378"/>
    </row>
    <row r="20" spans="1:17" ht="15.75" customHeight="1" hidden="1" outlineLevel="3">
      <c r="A20" s="376" t="s">
        <v>32</v>
      </c>
      <c r="B20" s="377"/>
      <c r="C20" s="370" t="s">
        <v>23</v>
      </c>
      <c r="D20" s="423" t="s">
        <v>32</v>
      </c>
      <c r="E20" s="372"/>
      <c r="F20" s="483"/>
      <c r="G20" s="484"/>
      <c r="H20" s="485"/>
      <c r="I20" s="483"/>
      <c r="J20" s="483"/>
      <c r="K20" s="483"/>
      <c r="L20" s="483"/>
      <c r="M20" s="486"/>
      <c r="N20" s="483"/>
      <c r="O20" s="486"/>
      <c r="P20" s="471">
        <f t="shared" si="0"/>
        <v>0</v>
      </c>
      <c r="Q20" s="378"/>
    </row>
    <row r="21" spans="1:17" ht="330" customHeight="1" hidden="1" outlineLevel="4">
      <c r="A21" s="376" t="s">
        <v>33</v>
      </c>
      <c r="B21" s="377"/>
      <c r="C21" s="370" t="s">
        <v>34</v>
      </c>
      <c r="D21" s="423" t="s">
        <v>33</v>
      </c>
      <c r="E21" s="372"/>
      <c r="F21" s="483"/>
      <c r="G21" s="484"/>
      <c r="H21" s="485"/>
      <c r="I21" s="483"/>
      <c r="J21" s="483"/>
      <c r="K21" s="483"/>
      <c r="L21" s="483"/>
      <c r="M21" s="486"/>
      <c r="N21" s="483"/>
      <c r="O21" s="486"/>
      <c r="P21" s="471">
        <f t="shared" si="0"/>
        <v>0</v>
      </c>
      <c r="Q21" s="378"/>
    </row>
    <row r="22" spans="1:17" ht="330" customHeight="1" hidden="1" outlineLevel="5">
      <c r="A22" s="376" t="s">
        <v>33</v>
      </c>
      <c r="B22" s="377"/>
      <c r="C22" s="370" t="s">
        <v>35</v>
      </c>
      <c r="D22" s="423" t="s">
        <v>33</v>
      </c>
      <c r="E22" s="372"/>
      <c r="F22" s="483"/>
      <c r="G22" s="484"/>
      <c r="H22" s="485"/>
      <c r="I22" s="483"/>
      <c r="J22" s="483"/>
      <c r="K22" s="483"/>
      <c r="L22" s="483"/>
      <c r="M22" s="486"/>
      <c r="N22" s="483"/>
      <c r="O22" s="486"/>
      <c r="P22" s="471">
        <f t="shared" si="0"/>
        <v>0</v>
      </c>
      <c r="Q22" s="378"/>
    </row>
    <row r="23" spans="1:17" ht="330" customHeight="1" hidden="1" outlineLevel="5">
      <c r="A23" s="376" t="s">
        <v>36</v>
      </c>
      <c r="B23" s="377"/>
      <c r="C23" s="370" t="s">
        <v>35</v>
      </c>
      <c r="D23" s="423" t="s">
        <v>36</v>
      </c>
      <c r="E23" s="372"/>
      <c r="F23" s="483"/>
      <c r="G23" s="484"/>
      <c r="H23" s="485"/>
      <c r="I23" s="483"/>
      <c r="J23" s="483"/>
      <c r="K23" s="483"/>
      <c r="L23" s="483"/>
      <c r="M23" s="486"/>
      <c r="N23" s="483"/>
      <c r="O23" s="486"/>
      <c r="P23" s="471">
        <f t="shared" si="0"/>
        <v>0</v>
      </c>
      <c r="Q23" s="378"/>
    </row>
    <row r="24" spans="1:17" ht="15.75" customHeight="1" hidden="1" outlineLevel="5">
      <c r="A24" s="376" t="s">
        <v>37</v>
      </c>
      <c r="B24" s="377"/>
      <c r="C24" s="370">
        <v>1.82101020200121E+19</v>
      </c>
      <c r="D24" s="423" t="s">
        <v>37</v>
      </c>
      <c r="E24" s="372"/>
      <c r="F24" s="483"/>
      <c r="G24" s="484"/>
      <c r="H24" s="485"/>
      <c r="I24" s="483"/>
      <c r="J24" s="483"/>
      <c r="K24" s="483"/>
      <c r="L24" s="483"/>
      <c r="M24" s="486"/>
      <c r="N24" s="483"/>
      <c r="O24" s="486"/>
      <c r="P24" s="471">
        <f t="shared" si="0"/>
        <v>0</v>
      </c>
      <c r="Q24" s="378"/>
    </row>
    <row r="25" spans="1:17" ht="330" customHeight="1" hidden="1" outlineLevel="5">
      <c r="A25" s="376" t="s">
        <v>38</v>
      </c>
      <c r="B25" s="377"/>
      <c r="C25" s="370" t="s">
        <v>35</v>
      </c>
      <c r="D25" s="423" t="s">
        <v>38</v>
      </c>
      <c r="E25" s="372"/>
      <c r="F25" s="483"/>
      <c r="G25" s="484"/>
      <c r="H25" s="485"/>
      <c r="I25" s="483"/>
      <c r="J25" s="483"/>
      <c r="K25" s="483"/>
      <c r="L25" s="483"/>
      <c r="M25" s="486"/>
      <c r="N25" s="483"/>
      <c r="O25" s="486"/>
      <c r="P25" s="471">
        <f t="shared" si="0"/>
        <v>0</v>
      </c>
      <c r="Q25" s="378"/>
    </row>
    <row r="26" spans="1:17" ht="15.75" customHeight="1" hidden="1" outlineLevel="3">
      <c r="A26" s="376" t="s">
        <v>39</v>
      </c>
      <c r="B26" s="377"/>
      <c r="C26" s="370" t="s">
        <v>23</v>
      </c>
      <c r="D26" s="423" t="s">
        <v>39</v>
      </c>
      <c r="E26" s="372"/>
      <c r="F26" s="483"/>
      <c r="G26" s="484"/>
      <c r="H26" s="485"/>
      <c r="I26" s="483"/>
      <c r="J26" s="483"/>
      <c r="K26" s="483"/>
      <c r="L26" s="483"/>
      <c r="M26" s="486"/>
      <c r="N26" s="483"/>
      <c r="O26" s="486"/>
      <c r="P26" s="471">
        <f t="shared" si="0"/>
        <v>0</v>
      </c>
      <c r="Q26" s="378"/>
    </row>
    <row r="27" spans="1:17" ht="120" customHeight="1" hidden="1" outlineLevel="4">
      <c r="A27" s="376" t="s">
        <v>40</v>
      </c>
      <c r="B27" s="377"/>
      <c r="C27" s="370" t="s">
        <v>41</v>
      </c>
      <c r="D27" s="423" t="s">
        <v>40</v>
      </c>
      <c r="E27" s="372"/>
      <c r="F27" s="483"/>
      <c r="G27" s="484"/>
      <c r="H27" s="485"/>
      <c r="I27" s="483"/>
      <c r="J27" s="483"/>
      <c r="K27" s="483"/>
      <c r="L27" s="483"/>
      <c r="M27" s="486"/>
      <c r="N27" s="483"/>
      <c r="O27" s="486"/>
      <c r="P27" s="471">
        <f t="shared" si="0"/>
        <v>0</v>
      </c>
      <c r="Q27" s="378"/>
    </row>
    <row r="28" spans="1:17" ht="120" customHeight="1" hidden="1" outlineLevel="5">
      <c r="A28" s="376" t="s">
        <v>40</v>
      </c>
      <c r="B28" s="377"/>
      <c r="C28" s="370" t="s">
        <v>42</v>
      </c>
      <c r="D28" s="423" t="s">
        <v>40</v>
      </c>
      <c r="E28" s="372"/>
      <c r="F28" s="483"/>
      <c r="G28" s="484"/>
      <c r="H28" s="485"/>
      <c r="I28" s="483"/>
      <c r="J28" s="483"/>
      <c r="K28" s="483"/>
      <c r="L28" s="483"/>
      <c r="M28" s="486"/>
      <c r="N28" s="483"/>
      <c r="O28" s="486"/>
      <c r="P28" s="471">
        <f t="shared" si="0"/>
        <v>0</v>
      </c>
      <c r="Q28" s="378"/>
    </row>
    <row r="29" spans="1:17" ht="120" customHeight="1" hidden="1" outlineLevel="5">
      <c r="A29" s="376" t="s">
        <v>43</v>
      </c>
      <c r="B29" s="377"/>
      <c r="C29" s="370" t="s">
        <v>44</v>
      </c>
      <c r="D29" s="423" t="s">
        <v>43</v>
      </c>
      <c r="E29" s="372"/>
      <c r="F29" s="483"/>
      <c r="G29" s="484"/>
      <c r="H29" s="485"/>
      <c r="I29" s="483"/>
      <c r="J29" s="483"/>
      <c r="K29" s="483"/>
      <c r="L29" s="483"/>
      <c r="M29" s="486"/>
      <c r="N29" s="483"/>
      <c r="O29" s="486"/>
      <c r="P29" s="471">
        <f t="shared" si="0"/>
        <v>0</v>
      </c>
      <c r="Q29" s="378"/>
    </row>
    <row r="30" spans="1:17" ht="15.75" customHeight="1" hidden="1" outlineLevel="5">
      <c r="A30" s="376" t="s">
        <v>45</v>
      </c>
      <c r="B30" s="377"/>
      <c r="C30" s="370">
        <v>1.82101020300121E+19</v>
      </c>
      <c r="D30" s="423" t="s">
        <v>45</v>
      </c>
      <c r="E30" s="372"/>
      <c r="F30" s="483"/>
      <c r="G30" s="484"/>
      <c r="H30" s="485"/>
      <c r="I30" s="483"/>
      <c r="J30" s="483"/>
      <c r="K30" s="483"/>
      <c r="L30" s="483"/>
      <c r="M30" s="486"/>
      <c r="N30" s="483"/>
      <c r="O30" s="486"/>
      <c r="P30" s="471">
        <f t="shared" si="0"/>
        <v>0</v>
      </c>
      <c r="Q30" s="378"/>
    </row>
    <row r="31" spans="1:17" ht="120" customHeight="1" hidden="1" outlineLevel="5">
      <c r="A31" s="376" t="s">
        <v>46</v>
      </c>
      <c r="B31" s="377"/>
      <c r="C31" s="370" t="s">
        <v>44</v>
      </c>
      <c r="D31" s="423" t="s">
        <v>46</v>
      </c>
      <c r="E31" s="372"/>
      <c r="F31" s="483"/>
      <c r="G31" s="484"/>
      <c r="H31" s="485"/>
      <c r="I31" s="483"/>
      <c r="J31" s="483"/>
      <c r="K31" s="483"/>
      <c r="L31" s="483"/>
      <c r="M31" s="486"/>
      <c r="N31" s="483"/>
      <c r="O31" s="486"/>
      <c r="P31" s="471">
        <f t="shared" si="0"/>
        <v>0</v>
      </c>
      <c r="Q31" s="378"/>
    </row>
    <row r="32" spans="1:17" ht="120" customHeight="1" hidden="1" outlineLevel="5">
      <c r="A32" s="376" t="s">
        <v>47</v>
      </c>
      <c r="B32" s="377"/>
      <c r="C32" s="370" t="s">
        <v>44</v>
      </c>
      <c r="D32" s="423" t="s">
        <v>47</v>
      </c>
      <c r="E32" s="372"/>
      <c r="F32" s="483"/>
      <c r="G32" s="484"/>
      <c r="H32" s="485"/>
      <c r="I32" s="483"/>
      <c r="J32" s="483"/>
      <c r="K32" s="483"/>
      <c r="L32" s="483"/>
      <c r="M32" s="486"/>
      <c r="N32" s="483"/>
      <c r="O32" s="486"/>
      <c r="P32" s="471">
        <f t="shared" si="0"/>
        <v>0</v>
      </c>
      <c r="Q32" s="378"/>
    </row>
    <row r="33" spans="1:17" ht="15.75" customHeight="1" hidden="1" outlineLevel="3">
      <c r="A33" s="376" t="s">
        <v>48</v>
      </c>
      <c r="B33" s="377"/>
      <c r="C33" s="370" t="s">
        <v>23</v>
      </c>
      <c r="D33" s="423" t="s">
        <v>48</v>
      </c>
      <c r="E33" s="372"/>
      <c r="F33" s="483"/>
      <c r="G33" s="484"/>
      <c r="H33" s="485"/>
      <c r="I33" s="483"/>
      <c r="J33" s="483"/>
      <c r="K33" s="483"/>
      <c r="L33" s="483"/>
      <c r="M33" s="486"/>
      <c r="N33" s="483"/>
      <c r="O33" s="486"/>
      <c r="P33" s="471">
        <f t="shared" si="0"/>
        <v>0</v>
      </c>
      <c r="Q33" s="378"/>
    </row>
    <row r="34" spans="1:17" ht="270" customHeight="1" hidden="1" outlineLevel="4">
      <c r="A34" s="376" t="s">
        <v>49</v>
      </c>
      <c r="B34" s="377"/>
      <c r="C34" s="370" t="s">
        <v>50</v>
      </c>
      <c r="D34" s="423" t="s">
        <v>49</v>
      </c>
      <c r="E34" s="372"/>
      <c r="F34" s="483"/>
      <c r="G34" s="484"/>
      <c r="H34" s="485"/>
      <c r="I34" s="483"/>
      <c r="J34" s="483"/>
      <c r="K34" s="483"/>
      <c r="L34" s="483"/>
      <c r="M34" s="486"/>
      <c r="N34" s="483"/>
      <c r="O34" s="486"/>
      <c r="P34" s="471">
        <f t="shared" si="0"/>
        <v>0</v>
      </c>
      <c r="Q34" s="378"/>
    </row>
    <row r="35" spans="1:17" ht="270" customHeight="1" hidden="1" outlineLevel="5">
      <c r="A35" s="376" t="s">
        <v>49</v>
      </c>
      <c r="B35" s="377"/>
      <c r="C35" s="370" t="s">
        <v>51</v>
      </c>
      <c r="D35" s="423" t="s">
        <v>49</v>
      </c>
      <c r="E35" s="372"/>
      <c r="F35" s="483"/>
      <c r="G35" s="484"/>
      <c r="H35" s="485"/>
      <c r="I35" s="483"/>
      <c r="J35" s="483"/>
      <c r="K35" s="483"/>
      <c r="L35" s="483"/>
      <c r="M35" s="486"/>
      <c r="N35" s="483"/>
      <c r="O35" s="486"/>
      <c r="P35" s="471">
        <f t="shared" si="0"/>
        <v>0</v>
      </c>
      <c r="Q35" s="378"/>
    </row>
    <row r="36" spans="1:17" ht="409.5" customHeight="1" hidden="1" outlineLevel="5">
      <c r="A36" s="376" t="s">
        <v>52</v>
      </c>
      <c r="B36" s="377"/>
      <c r="C36" s="370" t="s">
        <v>53</v>
      </c>
      <c r="D36" s="423" t="s">
        <v>52</v>
      </c>
      <c r="E36" s="372">
        <v>8650982.19</v>
      </c>
      <c r="F36" s="483"/>
      <c r="G36" s="484"/>
      <c r="H36" s="485"/>
      <c r="I36" s="483"/>
      <c r="J36" s="483"/>
      <c r="K36" s="483"/>
      <c r="L36" s="483"/>
      <c r="M36" s="486"/>
      <c r="N36" s="483"/>
      <c r="O36" s="486"/>
      <c r="P36" s="471">
        <f t="shared" si="0"/>
        <v>0</v>
      </c>
      <c r="Q36" s="378"/>
    </row>
    <row r="37" spans="1:17" ht="57.75" customHeight="1" outlineLevel="2" collapsed="1">
      <c r="A37" s="376" t="s">
        <v>54</v>
      </c>
      <c r="B37" s="377" t="s">
        <v>311</v>
      </c>
      <c r="C37" s="370" t="s">
        <v>56</v>
      </c>
      <c r="D37" s="423" t="s">
        <v>54</v>
      </c>
      <c r="E37" s="372">
        <v>10254357.32</v>
      </c>
      <c r="F37" s="483">
        <v>7.6</v>
      </c>
      <c r="G37" s="484"/>
      <c r="H37" s="485"/>
      <c r="I37" s="483"/>
      <c r="J37" s="483"/>
      <c r="K37" s="483">
        <v>7.7</v>
      </c>
      <c r="L37" s="471"/>
      <c r="M37" s="486"/>
      <c r="N37" s="483"/>
      <c r="O37" s="486"/>
      <c r="P37" s="471">
        <f t="shared" si="0"/>
        <v>0.10000000000000053</v>
      </c>
      <c r="Q37" s="369" t="s">
        <v>267</v>
      </c>
    </row>
    <row r="38" spans="1:17" ht="58.5" customHeight="1" hidden="1" outlineLevel="1">
      <c r="A38" s="376" t="s">
        <v>57</v>
      </c>
      <c r="B38" s="377" t="s">
        <v>58</v>
      </c>
      <c r="C38" s="370" t="s">
        <v>59</v>
      </c>
      <c r="D38" s="423" t="s">
        <v>57</v>
      </c>
      <c r="E38" s="373">
        <f>E39+E40+E50+E54</f>
        <v>45903932.26</v>
      </c>
      <c r="F38" s="483"/>
      <c r="G38" s="484"/>
      <c r="H38" s="485"/>
      <c r="I38" s="483"/>
      <c r="J38" s="483"/>
      <c r="K38" s="483"/>
      <c r="L38" s="471"/>
      <c r="M38" s="486"/>
      <c r="N38" s="483"/>
      <c r="O38" s="486"/>
      <c r="P38" s="471">
        <f t="shared" si="0"/>
        <v>0</v>
      </c>
      <c r="Q38" s="369" t="s">
        <v>267</v>
      </c>
    </row>
    <row r="39" spans="1:17" ht="41.25" customHeight="1" outlineLevel="1">
      <c r="A39" s="376"/>
      <c r="B39" s="377" t="s">
        <v>312</v>
      </c>
      <c r="C39" s="370" t="s">
        <v>61</v>
      </c>
      <c r="D39" s="371" t="s">
        <v>62</v>
      </c>
      <c r="E39" s="372">
        <v>33191065.25</v>
      </c>
      <c r="F39" s="483">
        <v>24.1</v>
      </c>
      <c r="G39" s="488"/>
      <c r="H39" s="486"/>
      <c r="I39" s="483"/>
      <c r="J39" s="483"/>
      <c r="K39" s="483">
        <v>29.2</v>
      </c>
      <c r="L39" s="483"/>
      <c r="M39" s="486"/>
      <c r="N39" s="483"/>
      <c r="O39" s="486"/>
      <c r="P39" s="471">
        <f t="shared" si="0"/>
        <v>5.099999999999998</v>
      </c>
      <c r="Q39" s="375"/>
    </row>
    <row r="40" spans="1:17" ht="46.5" hidden="1" outlineLevel="2">
      <c r="A40" s="376" t="s">
        <v>63</v>
      </c>
      <c r="B40" s="377" t="s">
        <v>64</v>
      </c>
      <c r="C40" s="370" t="s">
        <v>65</v>
      </c>
      <c r="D40" s="371" t="s">
        <v>63</v>
      </c>
      <c r="E40" s="372">
        <v>108221.73</v>
      </c>
      <c r="F40" s="483"/>
      <c r="G40" s="488"/>
      <c r="H40" s="486"/>
      <c r="I40" s="483"/>
      <c r="J40" s="483"/>
      <c r="K40" s="483"/>
      <c r="L40" s="483"/>
      <c r="M40" s="486"/>
      <c r="N40" s="483"/>
      <c r="O40" s="486"/>
      <c r="P40" s="471">
        <f t="shared" si="0"/>
        <v>0</v>
      </c>
      <c r="Q40" s="375" t="s">
        <v>263</v>
      </c>
    </row>
    <row r="41" spans="1:17" ht="15" customHeight="1" hidden="1" outlineLevel="3">
      <c r="A41" s="376" t="s">
        <v>66</v>
      </c>
      <c r="B41" s="377"/>
      <c r="C41" s="370" t="s">
        <v>23</v>
      </c>
      <c r="D41" s="371" t="s">
        <v>66</v>
      </c>
      <c r="E41" s="372"/>
      <c r="F41" s="483"/>
      <c r="G41" s="488"/>
      <c r="H41" s="486"/>
      <c r="I41" s="483"/>
      <c r="J41" s="483"/>
      <c r="K41" s="483"/>
      <c r="L41" s="483"/>
      <c r="M41" s="486"/>
      <c r="N41" s="483"/>
      <c r="O41" s="486"/>
      <c r="P41" s="471">
        <f t="shared" si="0"/>
        <v>0</v>
      </c>
      <c r="Q41" s="378"/>
    </row>
    <row r="42" spans="1:17" ht="57" customHeight="1" hidden="1" outlineLevel="4">
      <c r="A42" s="376" t="s">
        <v>67</v>
      </c>
      <c r="B42" s="377"/>
      <c r="C42" s="370" t="s">
        <v>68</v>
      </c>
      <c r="D42" s="371" t="s">
        <v>67</v>
      </c>
      <c r="E42" s="372"/>
      <c r="F42" s="483"/>
      <c r="G42" s="488"/>
      <c r="H42" s="486"/>
      <c r="I42" s="483"/>
      <c r="J42" s="483"/>
      <c r="K42" s="483"/>
      <c r="L42" s="483"/>
      <c r="M42" s="486"/>
      <c r="N42" s="483"/>
      <c r="O42" s="486"/>
      <c r="P42" s="471">
        <f t="shared" si="0"/>
        <v>0</v>
      </c>
      <c r="Q42" s="378"/>
    </row>
    <row r="43" spans="1:17" ht="57" customHeight="1" hidden="1" outlineLevel="5">
      <c r="A43" s="376" t="s">
        <v>67</v>
      </c>
      <c r="B43" s="377"/>
      <c r="C43" s="370" t="s">
        <v>69</v>
      </c>
      <c r="D43" s="371" t="s">
        <v>67</v>
      </c>
      <c r="E43" s="372"/>
      <c r="F43" s="483"/>
      <c r="G43" s="488"/>
      <c r="H43" s="486"/>
      <c r="I43" s="483"/>
      <c r="J43" s="483"/>
      <c r="K43" s="483"/>
      <c r="L43" s="483"/>
      <c r="M43" s="486"/>
      <c r="N43" s="483"/>
      <c r="O43" s="486"/>
      <c r="P43" s="471">
        <f t="shared" si="0"/>
        <v>0</v>
      </c>
      <c r="Q43" s="378"/>
    </row>
    <row r="44" spans="1:17" ht="57" customHeight="1" hidden="1" outlineLevel="5">
      <c r="A44" s="376" t="s">
        <v>70</v>
      </c>
      <c r="B44" s="377"/>
      <c r="C44" s="370" t="s">
        <v>69</v>
      </c>
      <c r="D44" s="371" t="s">
        <v>70</v>
      </c>
      <c r="E44" s="372"/>
      <c r="F44" s="483"/>
      <c r="G44" s="488"/>
      <c r="H44" s="486"/>
      <c r="I44" s="483"/>
      <c r="J44" s="483"/>
      <c r="K44" s="483"/>
      <c r="L44" s="483"/>
      <c r="M44" s="486"/>
      <c r="N44" s="483"/>
      <c r="O44" s="486"/>
      <c r="P44" s="471">
        <f t="shared" si="0"/>
        <v>0</v>
      </c>
      <c r="Q44" s="378"/>
    </row>
    <row r="45" spans="1:17" ht="57" customHeight="1" hidden="1" outlineLevel="5">
      <c r="A45" s="376" t="s">
        <v>71</v>
      </c>
      <c r="B45" s="377"/>
      <c r="C45" s="370" t="s">
        <v>69</v>
      </c>
      <c r="D45" s="371" t="s">
        <v>71</v>
      </c>
      <c r="E45" s="372"/>
      <c r="F45" s="483"/>
      <c r="G45" s="488"/>
      <c r="H45" s="486"/>
      <c r="I45" s="483"/>
      <c r="J45" s="483"/>
      <c r="K45" s="483"/>
      <c r="L45" s="483"/>
      <c r="M45" s="486"/>
      <c r="N45" s="483"/>
      <c r="O45" s="486"/>
      <c r="P45" s="471">
        <f t="shared" si="0"/>
        <v>0</v>
      </c>
      <c r="Q45" s="378"/>
    </row>
    <row r="46" spans="1:17" ht="57" customHeight="1" hidden="1" outlineLevel="5">
      <c r="A46" s="376" t="s">
        <v>72</v>
      </c>
      <c r="B46" s="377"/>
      <c r="C46" s="370" t="s">
        <v>69</v>
      </c>
      <c r="D46" s="371" t="s">
        <v>72</v>
      </c>
      <c r="E46" s="372"/>
      <c r="F46" s="483"/>
      <c r="G46" s="488"/>
      <c r="H46" s="486"/>
      <c r="I46" s="483"/>
      <c r="J46" s="483"/>
      <c r="K46" s="483"/>
      <c r="L46" s="483"/>
      <c r="M46" s="486"/>
      <c r="N46" s="483"/>
      <c r="O46" s="486"/>
      <c r="P46" s="471">
        <f t="shared" si="0"/>
        <v>0</v>
      </c>
      <c r="Q46" s="378"/>
    </row>
    <row r="47" spans="1:17" ht="15" customHeight="1" hidden="1" outlineLevel="3">
      <c r="A47" s="376" t="s">
        <v>73</v>
      </c>
      <c r="B47" s="377"/>
      <c r="C47" s="370" t="s">
        <v>23</v>
      </c>
      <c r="D47" s="371" t="s">
        <v>73</v>
      </c>
      <c r="E47" s="372"/>
      <c r="F47" s="483"/>
      <c r="G47" s="488"/>
      <c r="H47" s="486"/>
      <c r="I47" s="483"/>
      <c r="J47" s="483"/>
      <c r="K47" s="483"/>
      <c r="L47" s="483"/>
      <c r="M47" s="486"/>
      <c r="N47" s="483"/>
      <c r="O47" s="486"/>
      <c r="P47" s="471">
        <f t="shared" si="0"/>
        <v>0</v>
      </c>
      <c r="Q47" s="378"/>
    </row>
    <row r="48" spans="1:17" ht="99.75" customHeight="1" hidden="1" outlineLevel="4">
      <c r="A48" s="376" t="s">
        <v>74</v>
      </c>
      <c r="B48" s="377"/>
      <c r="C48" s="370" t="s">
        <v>75</v>
      </c>
      <c r="D48" s="371" t="s">
        <v>74</v>
      </c>
      <c r="E48" s="372"/>
      <c r="F48" s="483"/>
      <c r="G48" s="488"/>
      <c r="H48" s="486"/>
      <c r="I48" s="483"/>
      <c r="J48" s="483"/>
      <c r="K48" s="483"/>
      <c r="L48" s="483"/>
      <c r="M48" s="486"/>
      <c r="N48" s="483"/>
      <c r="O48" s="486"/>
      <c r="P48" s="471">
        <f t="shared" si="0"/>
        <v>0</v>
      </c>
      <c r="Q48" s="378"/>
    </row>
    <row r="49" spans="1:17" ht="99.75" customHeight="1" hidden="1" outlineLevel="5">
      <c r="A49" s="376" t="s">
        <v>76</v>
      </c>
      <c r="B49" s="377"/>
      <c r="C49" s="370" t="s">
        <v>77</v>
      </c>
      <c r="D49" s="371" t="s">
        <v>76</v>
      </c>
      <c r="E49" s="372"/>
      <c r="F49" s="483"/>
      <c r="G49" s="488"/>
      <c r="H49" s="486"/>
      <c r="I49" s="483"/>
      <c r="J49" s="483"/>
      <c r="K49" s="483"/>
      <c r="L49" s="483"/>
      <c r="M49" s="486"/>
      <c r="N49" s="483"/>
      <c r="O49" s="486"/>
      <c r="P49" s="471">
        <f t="shared" si="0"/>
        <v>0</v>
      </c>
      <c r="Q49" s="378"/>
    </row>
    <row r="50" spans="1:17" ht="18.75" customHeight="1" hidden="1" outlineLevel="2" collapsed="1">
      <c r="A50" s="376" t="s">
        <v>78</v>
      </c>
      <c r="B50" s="377" t="s">
        <v>79</v>
      </c>
      <c r="C50" s="370" t="s">
        <v>80</v>
      </c>
      <c r="D50" s="371" t="s">
        <v>78</v>
      </c>
      <c r="E50" s="373">
        <v>63052.38</v>
      </c>
      <c r="F50" s="488"/>
      <c r="G50" s="488"/>
      <c r="H50" s="486"/>
      <c r="I50" s="483"/>
      <c r="J50" s="483"/>
      <c r="K50" s="488"/>
      <c r="L50" s="483"/>
      <c r="M50" s="486"/>
      <c r="N50" s="483"/>
      <c r="O50" s="486"/>
      <c r="P50" s="471">
        <f t="shared" si="0"/>
        <v>0</v>
      </c>
      <c r="Q50" s="378"/>
    </row>
    <row r="51" spans="1:17" ht="15" customHeight="1" hidden="1" outlineLevel="3">
      <c r="A51" s="376" t="s">
        <v>81</v>
      </c>
      <c r="B51" s="377"/>
      <c r="C51" s="370" t="s">
        <v>23</v>
      </c>
      <c r="D51" s="371" t="s">
        <v>81</v>
      </c>
      <c r="E51" s="372"/>
      <c r="F51" s="483"/>
      <c r="G51" s="488"/>
      <c r="H51" s="486"/>
      <c r="I51" s="483"/>
      <c r="J51" s="483"/>
      <c r="K51" s="483"/>
      <c r="L51" s="483"/>
      <c r="M51" s="486"/>
      <c r="N51" s="483"/>
      <c r="O51" s="486"/>
      <c r="P51" s="471">
        <f t="shared" si="0"/>
        <v>0</v>
      </c>
      <c r="Q51" s="378"/>
    </row>
    <row r="52" spans="1:17" ht="42.75" customHeight="1" hidden="1" outlineLevel="4">
      <c r="A52" s="376" t="s">
        <v>82</v>
      </c>
      <c r="B52" s="377"/>
      <c r="C52" s="370" t="s">
        <v>83</v>
      </c>
      <c r="D52" s="371" t="s">
        <v>82</v>
      </c>
      <c r="E52" s="372"/>
      <c r="F52" s="483"/>
      <c r="G52" s="488"/>
      <c r="H52" s="486"/>
      <c r="I52" s="483"/>
      <c r="J52" s="483"/>
      <c r="K52" s="483"/>
      <c r="L52" s="483"/>
      <c r="M52" s="486"/>
      <c r="N52" s="483"/>
      <c r="O52" s="486"/>
      <c r="P52" s="471">
        <f t="shared" si="0"/>
        <v>0</v>
      </c>
      <c r="Q52" s="378"/>
    </row>
    <row r="53" spans="1:17" ht="42.75" customHeight="1" hidden="1" outlineLevel="5">
      <c r="A53" s="376" t="s">
        <v>82</v>
      </c>
      <c r="B53" s="377"/>
      <c r="C53" s="370" t="s">
        <v>84</v>
      </c>
      <c r="D53" s="371" t="s">
        <v>82</v>
      </c>
      <c r="E53" s="372"/>
      <c r="F53" s="483"/>
      <c r="G53" s="488"/>
      <c r="H53" s="486"/>
      <c r="I53" s="483"/>
      <c r="J53" s="483"/>
      <c r="K53" s="483"/>
      <c r="L53" s="483"/>
      <c r="M53" s="486"/>
      <c r="N53" s="483"/>
      <c r="O53" s="486"/>
      <c r="P53" s="471">
        <f t="shared" si="0"/>
        <v>0</v>
      </c>
      <c r="Q53" s="378"/>
    </row>
    <row r="54" spans="1:17" ht="30" customHeight="1" outlineLevel="2" collapsed="1">
      <c r="A54" s="376" t="s">
        <v>85</v>
      </c>
      <c r="B54" s="377" t="s">
        <v>313</v>
      </c>
      <c r="C54" s="370" t="s">
        <v>87</v>
      </c>
      <c r="D54" s="371" t="s">
        <v>85</v>
      </c>
      <c r="E54" s="372">
        <v>12541592.9</v>
      </c>
      <c r="F54" s="483">
        <v>7.7</v>
      </c>
      <c r="G54" s="488"/>
      <c r="H54" s="486"/>
      <c r="I54" s="483"/>
      <c r="J54" s="483"/>
      <c r="K54" s="483">
        <v>4</v>
      </c>
      <c r="L54" s="483"/>
      <c r="M54" s="486"/>
      <c r="N54" s="483"/>
      <c r="O54" s="486"/>
      <c r="P54" s="471">
        <f t="shared" si="0"/>
        <v>-3.7</v>
      </c>
      <c r="Q54" s="375"/>
    </row>
    <row r="55" spans="1:17" ht="15" customHeight="1" hidden="1" outlineLevel="3">
      <c r="A55" s="376" t="s">
        <v>88</v>
      </c>
      <c r="B55" s="377"/>
      <c r="C55" s="370" t="s">
        <v>23</v>
      </c>
      <c r="D55" s="371" t="s">
        <v>88</v>
      </c>
      <c r="E55" s="372">
        <v>401120</v>
      </c>
      <c r="F55" s="483"/>
      <c r="G55" s="488"/>
      <c r="H55" s="486"/>
      <c r="I55" s="483"/>
      <c r="J55" s="483"/>
      <c r="K55" s="483"/>
      <c r="L55" s="483"/>
      <c r="M55" s="486"/>
      <c r="N55" s="483"/>
      <c r="O55" s="486"/>
      <c r="P55" s="471">
        <f t="shared" si="0"/>
        <v>0</v>
      </c>
      <c r="Q55" s="378"/>
    </row>
    <row r="56" spans="1:17" ht="85.5" customHeight="1" hidden="1" outlineLevel="4">
      <c r="A56" s="376" t="s">
        <v>89</v>
      </c>
      <c r="B56" s="377"/>
      <c r="C56" s="370" t="s">
        <v>90</v>
      </c>
      <c r="D56" s="371" t="s">
        <v>89</v>
      </c>
      <c r="E56" s="372">
        <v>0</v>
      </c>
      <c r="F56" s="483"/>
      <c r="G56" s="488"/>
      <c r="H56" s="486"/>
      <c r="I56" s="483"/>
      <c r="J56" s="483"/>
      <c r="K56" s="483"/>
      <c r="L56" s="483"/>
      <c r="M56" s="486"/>
      <c r="N56" s="483"/>
      <c r="O56" s="486"/>
      <c r="P56" s="471">
        <f t="shared" si="0"/>
        <v>0</v>
      </c>
      <c r="Q56" s="378"/>
    </row>
    <row r="57" spans="1:17" ht="99.75" customHeight="1" hidden="1" outlineLevel="5">
      <c r="A57" s="376" t="s">
        <v>89</v>
      </c>
      <c r="B57" s="377"/>
      <c r="C57" s="370" t="s">
        <v>91</v>
      </c>
      <c r="D57" s="371" t="s">
        <v>89</v>
      </c>
      <c r="E57" s="372">
        <v>401106.8</v>
      </c>
      <c r="F57" s="483"/>
      <c r="G57" s="488"/>
      <c r="H57" s="486"/>
      <c r="I57" s="483"/>
      <c r="J57" s="483"/>
      <c r="K57" s="483"/>
      <c r="L57" s="483"/>
      <c r="M57" s="486"/>
      <c r="N57" s="483"/>
      <c r="O57" s="486"/>
      <c r="P57" s="471">
        <f t="shared" si="0"/>
        <v>0</v>
      </c>
      <c r="Q57" s="378"/>
    </row>
    <row r="58" spans="1:17" ht="99.75" customHeight="1" hidden="1" outlineLevel="5">
      <c r="A58" s="376" t="s">
        <v>92</v>
      </c>
      <c r="B58" s="377"/>
      <c r="C58" s="370" t="s">
        <v>91</v>
      </c>
      <c r="D58" s="371" t="s">
        <v>92</v>
      </c>
      <c r="E58" s="372">
        <v>13.2</v>
      </c>
      <c r="F58" s="483"/>
      <c r="G58" s="488"/>
      <c r="H58" s="486"/>
      <c r="I58" s="483"/>
      <c r="J58" s="483"/>
      <c r="K58" s="483"/>
      <c r="L58" s="483"/>
      <c r="M58" s="486"/>
      <c r="N58" s="483"/>
      <c r="O58" s="486"/>
      <c r="P58" s="471">
        <f t="shared" si="0"/>
        <v>0</v>
      </c>
      <c r="Q58" s="378"/>
    </row>
    <row r="59" spans="1:17" ht="99.75" customHeight="1" hidden="1" outlineLevel="5">
      <c r="A59" s="376" t="s">
        <v>93</v>
      </c>
      <c r="B59" s="377"/>
      <c r="C59" s="370" t="s">
        <v>91</v>
      </c>
      <c r="D59" s="371" t="s">
        <v>93</v>
      </c>
      <c r="E59" s="372">
        <f>E60+E61+E62</f>
        <v>172244710.82</v>
      </c>
      <c r="F59" s="483"/>
      <c r="G59" s="488"/>
      <c r="H59" s="486"/>
      <c r="I59" s="483"/>
      <c r="J59" s="483"/>
      <c r="K59" s="483"/>
      <c r="L59" s="483"/>
      <c r="M59" s="486"/>
      <c r="N59" s="483"/>
      <c r="O59" s="486"/>
      <c r="P59" s="471">
        <f t="shared" si="0"/>
        <v>0</v>
      </c>
      <c r="Q59" s="378"/>
    </row>
    <row r="60" spans="1:17" ht="22.5" customHeight="1" outlineLevel="1" collapsed="1">
      <c r="A60" s="376" t="s">
        <v>94</v>
      </c>
      <c r="B60" s="377" t="s">
        <v>314</v>
      </c>
      <c r="C60" s="370" t="s">
        <v>96</v>
      </c>
      <c r="D60" s="371" t="s">
        <v>94</v>
      </c>
      <c r="E60" s="372">
        <f>E61+E62+E63</f>
        <v>95317580.9</v>
      </c>
      <c r="F60" s="483">
        <v>51.2</v>
      </c>
      <c r="G60" s="488"/>
      <c r="H60" s="486"/>
      <c r="I60" s="483"/>
      <c r="J60" s="483"/>
      <c r="K60" s="483">
        <v>35.8</v>
      </c>
      <c r="L60" s="483"/>
      <c r="M60" s="486"/>
      <c r="N60" s="483"/>
      <c r="O60" s="486"/>
      <c r="P60" s="471">
        <f t="shared" si="0"/>
        <v>-15.400000000000006</v>
      </c>
      <c r="Q60" s="369" t="s">
        <v>267</v>
      </c>
    </row>
    <row r="61" spans="1:17" ht="30.75" hidden="1" outlineLevel="2">
      <c r="A61" s="376" t="s">
        <v>97</v>
      </c>
      <c r="B61" s="377" t="s">
        <v>98</v>
      </c>
      <c r="C61" s="370" t="s">
        <v>99</v>
      </c>
      <c r="D61" s="371" t="s">
        <v>97</v>
      </c>
      <c r="E61" s="372">
        <v>14947482.35</v>
      </c>
      <c r="F61" s="483"/>
      <c r="G61" s="488"/>
      <c r="H61" s="486"/>
      <c r="I61" s="483"/>
      <c r="J61" s="483"/>
      <c r="K61" s="483"/>
      <c r="L61" s="483"/>
      <c r="M61" s="486"/>
      <c r="N61" s="483"/>
      <c r="O61" s="486"/>
      <c r="P61" s="471">
        <f t="shared" si="0"/>
        <v>0</v>
      </c>
      <c r="Q61" s="375"/>
    </row>
    <row r="62" spans="1:17" s="462" customFormat="1" ht="49.5" customHeight="1" outlineLevel="4">
      <c r="A62" s="456" t="s">
        <v>100</v>
      </c>
      <c r="B62" s="457"/>
      <c r="C62" s="458" t="s">
        <v>299</v>
      </c>
      <c r="D62" s="459" t="s">
        <v>100</v>
      </c>
      <c r="E62" s="460">
        <v>61979647.57</v>
      </c>
      <c r="F62" s="489">
        <v>45.6</v>
      </c>
      <c r="G62" s="490"/>
      <c r="H62" s="491"/>
      <c r="I62" s="489"/>
      <c r="J62" s="489"/>
      <c r="K62" s="489">
        <v>28.5</v>
      </c>
      <c r="L62" s="489"/>
      <c r="M62" s="491"/>
      <c r="N62" s="489"/>
      <c r="O62" s="491"/>
      <c r="P62" s="471">
        <f t="shared" si="0"/>
        <v>-17.1</v>
      </c>
      <c r="Q62" s="461" t="s">
        <v>315</v>
      </c>
    </row>
    <row r="63" spans="1:17" ht="56.25" customHeight="1" hidden="1" outlineLevel="4">
      <c r="A63" s="376" t="s">
        <v>103</v>
      </c>
      <c r="B63" s="377" t="s">
        <v>104</v>
      </c>
      <c r="C63" s="370" t="s">
        <v>105</v>
      </c>
      <c r="D63" s="371" t="s">
        <v>103</v>
      </c>
      <c r="E63" s="372">
        <v>18390450.98</v>
      </c>
      <c r="F63" s="483"/>
      <c r="G63" s="488"/>
      <c r="H63" s="486"/>
      <c r="I63" s="483"/>
      <c r="J63" s="483"/>
      <c r="K63" s="483"/>
      <c r="L63" s="483"/>
      <c r="M63" s="486"/>
      <c r="N63" s="483"/>
      <c r="O63" s="486"/>
      <c r="P63" s="471">
        <f t="shared" si="0"/>
        <v>0</v>
      </c>
      <c r="Q63" s="375"/>
    </row>
    <row r="64" spans="1:17" ht="32.25" customHeight="1" outlineLevel="1" collapsed="1">
      <c r="A64" s="376" t="s">
        <v>106</v>
      </c>
      <c r="B64" s="377" t="s">
        <v>316</v>
      </c>
      <c r="C64" s="370" t="s">
        <v>108</v>
      </c>
      <c r="D64" s="371" t="s">
        <v>106</v>
      </c>
      <c r="E64" s="372">
        <f>E65+E70</f>
        <v>10536108.33</v>
      </c>
      <c r="F64" s="483">
        <v>7.8</v>
      </c>
      <c r="G64" s="488"/>
      <c r="H64" s="486"/>
      <c r="I64" s="483"/>
      <c r="J64" s="483"/>
      <c r="K64" s="483">
        <v>8.2</v>
      </c>
      <c r="L64" s="483"/>
      <c r="M64" s="486"/>
      <c r="N64" s="483"/>
      <c r="O64" s="486"/>
      <c r="P64" s="471">
        <f t="shared" si="0"/>
        <v>0.39999999999999947</v>
      </c>
      <c r="Q64" s="378"/>
    </row>
    <row r="65" spans="1:17" ht="91.5" customHeight="1" hidden="1" outlineLevel="2">
      <c r="A65" s="376" t="s">
        <v>109</v>
      </c>
      <c r="B65" s="377" t="s">
        <v>110</v>
      </c>
      <c r="C65" s="370" t="s">
        <v>111</v>
      </c>
      <c r="D65" s="371" t="s">
        <v>109</v>
      </c>
      <c r="E65" s="372">
        <v>10431108.33</v>
      </c>
      <c r="F65" s="483"/>
      <c r="G65" s="488"/>
      <c r="H65" s="486"/>
      <c r="I65" s="483"/>
      <c r="J65" s="483"/>
      <c r="K65" s="483"/>
      <c r="L65" s="483"/>
      <c r="M65" s="486"/>
      <c r="N65" s="483"/>
      <c r="O65" s="486"/>
      <c r="P65" s="483"/>
      <c r="Q65" s="378"/>
    </row>
    <row r="66" spans="1:17" ht="15" customHeight="1" hidden="1" outlineLevel="3">
      <c r="A66" s="376" t="s">
        <v>112</v>
      </c>
      <c r="B66" s="377"/>
      <c r="C66" s="370" t="s">
        <v>23</v>
      </c>
      <c r="D66" s="371" t="s">
        <v>112</v>
      </c>
      <c r="E66" s="372"/>
      <c r="F66" s="483"/>
      <c r="G66" s="488"/>
      <c r="H66" s="486"/>
      <c r="I66" s="483"/>
      <c r="J66" s="483"/>
      <c r="K66" s="483"/>
      <c r="L66" s="483"/>
      <c r="M66" s="486"/>
      <c r="N66" s="483"/>
      <c r="O66" s="486"/>
      <c r="P66" s="483"/>
      <c r="Q66" s="378"/>
    </row>
    <row r="67" spans="1:17" ht="114" customHeight="1" hidden="1" outlineLevel="4">
      <c r="A67" s="376" t="s">
        <v>113</v>
      </c>
      <c r="B67" s="377"/>
      <c r="C67" s="370" t="s">
        <v>114</v>
      </c>
      <c r="D67" s="371" t="s">
        <v>113</v>
      </c>
      <c r="E67" s="372"/>
      <c r="F67" s="483"/>
      <c r="G67" s="488"/>
      <c r="H67" s="486"/>
      <c r="I67" s="483"/>
      <c r="J67" s="483"/>
      <c r="K67" s="483"/>
      <c r="L67" s="483"/>
      <c r="M67" s="486"/>
      <c r="N67" s="483"/>
      <c r="O67" s="486"/>
      <c r="P67" s="483"/>
      <c r="Q67" s="378"/>
    </row>
    <row r="68" spans="1:17" ht="128.25" customHeight="1" hidden="1" outlineLevel="5">
      <c r="A68" s="376" t="s">
        <v>113</v>
      </c>
      <c r="B68" s="377"/>
      <c r="C68" s="370" t="s">
        <v>115</v>
      </c>
      <c r="D68" s="371" t="s">
        <v>113</v>
      </c>
      <c r="E68" s="372"/>
      <c r="F68" s="483"/>
      <c r="G68" s="488"/>
      <c r="H68" s="486"/>
      <c r="I68" s="483"/>
      <c r="J68" s="483"/>
      <c r="K68" s="483"/>
      <c r="L68" s="483"/>
      <c r="M68" s="486"/>
      <c r="N68" s="483"/>
      <c r="O68" s="486"/>
      <c r="P68" s="483"/>
      <c r="Q68" s="378"/>
    </row>
    <row r="69" spans="1:17" ht="171" customHeight="1" hidden="1" outlineLevel="5">
      <c r="A69" s="376" t="s">
        <v>116</v>
      </c>
      <c r="B69" s="377"/>
      <c r="C69" s="370" t="s">
        <v>117</v>
      </c>
      <c r="D69" s="371" t="s">
        <v>116</v>
      </c>
      <c r="E69" s="372"/>
      <c r="F69" s="483"/>
      <c r="G69" s="488"/>
      <c r="H69" s="486"/>
      <c r="I69" s="483"/>
      <c r="J69" s="483"/>
      <c r="K69" s="483"/>
      <c r="L69" s="483"/>
      <c r="M69" s="486"/>
      <c r="N69" s="483"/>
      <c r="O69" s="486"/>
      <c r="P69" s="483"/>
      <c r="Q69" s="378"/>
    </row>
    <row r="70" spans="1:17" ht="78.75" customHeight="1" hidden="1" outlineLevel="2" collapsed="1">
      <c r="A70" s="376" t="s">
        <v>118</v>
      </c>
      <c r="B70" s="377" t="s">
        <v>119</v>
      </c>
      <c r="C70" s="370" t="s">
        <v>120</v>
      </c>
      <c r="D70" s="371" t="s">
        <v>118</v>
      </c>
      <c r="E70" s="373">
        <v>105000</v>
      </c>
      <c r="F70" s="488"/>
      <c r="G70" s="488"/>
      <c r="H70" s="486"/>
      <c r="I70" s="483"/>
      <c r="J70" s="483"/>
      <c r="K70" s="488"/>
      <c r="L70" s="483"/>
      <c r="M70" s="486"/>
      <c r="N70" s="483"/>
      <c r="O70" s="486"/>
      <c r="P70" s="483"/>
      <c r="Q70" s="375"/>
    </row>
    <row r="71" spans="1:17" ht="15" customHeight="1" hidden="1" outlineLevel="3">
      <c r="A71" s="376" t="s">
        <v>121</v>
      </c>
      <c r="B71" s="377"/>
      <c r="C71" s="370" t="s">
        <v>23</v>
      </c>
      <c r="D71" s="371" t="s">
        <v>121</v>
      </c>
      <c r="E71" s="372">
        <v>0</v>
      </c>
      <c r="F71" s="483"/>
      <c r="G71" s="488"/>
      <c r="H71" s="486"/>
      <c r="I71" s="483"/>
      <c r="J71" s="483"/>
      <c r="K71" s="483"/>
      <c r="L71" s="483"/>
      <c r="M71" s="486"/>
      <c r="N71" s="483"/>
      <c r="O71" s="486"/>
      <c r="P71" s="483"/>
      <c r="Q71" s="378"/>
    </row>
    <row r="72" spans="1:17" ht="57" customHeight="1" hidden="1" outlineLevel="4">
      <c r="A72" s="376" t="s">
        <v>122</v>
      </c>
      <c r="B72" s="377"/>
      <c r="C72" s="370" t="s">
        <v>123</v>
      </c>
      <c r="D72" s="371" t="s">
        <v>122</v>
      </c>
      <c r="E72" s="372">
        <v>0</v>
      </c>
      <c r="F72" s="483"/>
      <c r="G72" s="488"/>
      <c r="H72" s="486"/>
      <c r="I72" s="483"/>
      <c r="J72" s="483"/>
      <c r="K72" s="483"/>
      <c r="L72" s="483"/>
      <c r="M72" s="486"/>
      <c r="N72" s="483"/>
      <c r="O72" s="486"/>
      <c r="P72" s="483"/>
      <c r="Q72" s="378"/>
    </row>
    <row r="73" spans="1:17" ht="71.25" customHeight="1" hidden="1" outlineLevel="5">
      <c r="A73" s="376" t="s">
        <v>122</v>
      </c>
      <c r="B73" s="377"/>
      <c r="C73" s="370" t="s">
        <v>124</v>
      </c>
      <c r="D73" s="371" t="s">
        <v>122</v>
      </c>
      <c r="E73" s="372">
        <v>-23389.69</v>
      </c>
      <c r="F73" s="483"/>
      <c r="G73" s="488"/>
      <c r="H73" s="486"/>
      <c r="I73" s="483"/>
      <c r="J73" s="483"/>
      <c r="K73" s="483"/>
      <c r="L73" s="483"/>
      <c r="M73" s="486"/>
      <c r="N73" s="483"/>
      <c r="O73" s="486"/>
      <c r="P73" s="483"/>
      <c r="Q73" s="378"/>
    </row>
    <row r="74" spans="1:17" ht="83.25" customHeight="1" hidden="1" outlineLevel="1" collapsed="1">
      <c r="A74" s="376" t="s">
        <v>125</v>
      </c>
      <c r="B74" s="377" t="s">
        <v>126</v>
      </c>
      <c r="C74" s="370" t="s">
        <v>300</v>
      </c>
      <c r="D74" s="371" t="s">
        <v>125</v>
      </c>
      <c r="E74" s="372">
        <v>-23389.69</v>
      </c>
      <c r="F74" s="483"/>
      <c r="G74" s="488"/>
      <c r="H74" s="486"/>
      <c r="I74" s="483"/>
      <c r="J74" s="483"/>
      <c r="K74" s="483"/>
      <c r="L74" s="483"/>
      <c r="M74" s="486"/>
      <c r="N74" s="483"/>
      <c r="O74" s="486"/>
      <c r="P74" s="483"/>
      <c r="Q74" s="378"/>
    </row>
    <row r="75" spans="1:17" ht="15.75" customHeight="1" hidden="1" outlineLevel="3">
      <c r="A75" s="376" t="s">
        <v>128</v>
      </c>
      <c r="B75" s="377"/>
      <c r="C75" s="370" t="s">
        <v>23</v>
      </c>
      <c r="D75" s="371" t="s">
        <v>128</v>
      </c>
      <c r="E75" s="372">
        <v>78.92</v>
      </c>
      <c r="F75" s="483"/>
      <c r="G75" s="488"/>
      <c r="H75" s="486"/>
      <c r="I75" s="483"/>
      <c r="J75" s="483"/>
      <c r="K75" s="483"/>
      <c r="L75" s="483"/>
      <c r="M75" s="486"/>
      <c r="N75" s="483"/>
      <c r="O75" s="486"/>
      <c r="P75" s="483"/>
      <c r="Q75" s="378"/>
    </row>
    <row r="76" spans="1:17" ht="180" customHeight="1" hidden="1" outlineLevel="4">
      <c r="A76" s="376" t="s">
        <v>129</v>
      </c>
      <c r="B76" s="377"/>
      <c r="C76" s="370" t="s">
        <v>130</v>
      </c>
      <c r="D76" s="371" t="s">
        <v>129</v>
      </c>
      <c r="E76" s="372">
        <v>78.92</v>
      </c>
      <c r="F76" s="483"/>
      <c r="G76" s="488"/>
      <c r="H76" s="486"/>
      <c r="I76" s="483"/>
      <c r="J76" s="483"/>
      <c r="K76" s="483"/>
      <c r="L76" s="483"/>
      <c r="M76" s="486"/>
      <c r="N76" s="483"/>
      <c r="O76" s="486"/>
      <c r="P76" s="483"/>
      <c r="Q76" s="378"/>
    </row>
    <row r="77" spans="1:17" ht="180" customHeight="1" hidden="1" outlineLevel="5">
      <c r="A77" s="376" t="s">
        <v>131</v>
      </c>
      <c r="B77" s="377"/>
      <c r="C77" s="370" t="s">
        <v>132</v>
      </c>
      <c r="D77" s="371" t="s">
        <v>131</v>
      </c>
      <c r="E77" s="372">
        <f>E78+E87+E103+E106+E109+E110</f>
        <v>106887173.90000002</v>
      </c>
      <c r="F77" s="483"/>
      <c r="G77" s="488"/>
      <c r="H77" s="486"/>
      <c r="I77" s="483"/>
      <c r="J77" s="483"/>
      <c r="K77" s="483"/>
      <c r="L77" s="483"/>
      <c r="M77" s="486"/>
      <c r="N77" s="483"/>
      <c r="O77" s="486"/>
      <c r="P77" s="483"/>
      <c r="Q77" s="378"/>
    </row>
    <row r="78" spans="1:17" s="352" customFormat="1" ht="57" customHeight="1" outlineLevel="5">
      <c r="A78" s="365"/>
      <c r="B78" s="444" t="s">
        <v>317</v>
      </c>
      <c r="C78" s="445" t="s">
        <v>306</v>
      </c>
      <c r="D78" s="446"/>
      <c r="E78" s="447">
        <f>E79+E88+E104+E107+E110+E111</f>
        <v>73494552.89</v>
      </c>
      <c r="F78" s="492">
        <v>50.9</v>
      </c>
      <c r="G78" s="492"/>
      <c r="H78" s="492"/>
      <c r="I78" s="492"/>
      <c r="J78" s="492"/>
      <c r="K78" s="492">
        <f>96-18.3</f>
        <v>77.7</v>
      </c>
      <c r="L78" s="492"/>
      <c r="M78" s="492"/>
      <c r="N78" s="492"/>
      <c r="O78" s="493"/>
      <c r="P78" s="492">
        <f>K78-F78</f>
        <v>26.800000000000004</v>
      </c>
      <c r="Q78" s="368"/>
    </row>
    <row r="79" spans="1:17" ht="57" customHeight="1" outlineLevel="1">
      <c r="A79" s="376" t="s">
        <v>135</v>
      </c>
      <c r="B79" s="377" t="s">
        <v>136</v>
      </c>
      <c r="C79" s="370" t="s">
        <v>137</v>
      </c>
      <c r="D79" s="371" t="s">
        <v>135</v>
      </c>
      <c r="E79" s="372">
        <f>E80+E81+E82+E83+E87</f>
        <v>37416244.75</v>
      </c>
      <c r="F79" s="483">
        <v>25.7</v>
      </c>
      <c r="G79" s="488"/>
      <c r="H79" s="486"/>
      <c r="I79" s="483"/>
      <c r="J79" s="483"/>
      <c r="K79" s="483">
        <v>21.9</v>
      </c>
      <c r="L79" s="483"/>
      <c r="M79" s="486"/>
      <c r="N79" s="483"/>
      <c r="O79" s="486"/>
      <c r="P79" s="483">
        <f>K79-F79</f>
        <v>-3.8000000000000007</v>
      </c>
      <c r="Q79" s="378"/>
    </row>
    <row r="80" spans="1:17" ht="66.75" customHeight="1" hidden="1" outlineLevel="4">
      <c r="A80" s="376" t="s">
        <v>138</v>
      </c>
      <c r="B80" s="377" t="s">
        <v>139</v>
      </c>
      <c r="C80" s="370" t="s">
        <v>140</v>
      </c>
      <c r="D80" s="371" t="s">
        <v>138</v>
      </c>
      <c r="E80" s="372">
        <v>24363527.29</v>
      </c>
      <c r="F80" s="483"/>
      <c r="G80" s="488"/>
      <c r="H80" s="486"/>
      <c r="I80" s="483"/>
      <c r="J80" s="483"/>
      <c r="K80" s="483"/>
      <c r="L80" s="483"/>
      <c r="M80" s="486"/>
      <c r="N80" s="483"/>
      <c r="O80" s="486"/>
      <c r="P80" s="483">
        <f aca="true" t="shared" si="1" ref="P80:P131">K80-F80</f>
        <v>0</v>
      </c>
      <c r="Q80" s="375" t="s">
        <v>268</v>
      </c>
    </row>
    <row r="81" spans="1:17" ht="61.5" customHeight="1" hidden="1" outlineLevel="4">
      <c r="A81" s="376" t="s">
        <v>141</v>
      </c>
      <c r="B81" s="377" t="s">
        <v>142</v>
      </c>
      <c r="C81" s="370" t="s">
        <v>143</v>
      </c>
      <c r="D81" s="371" t="s">
        <v>141</v>
      </c>
      <c r="E81" s="372">
        <v>977974.72</v>
      </c>
      <c r="F81" s="483"/>
      <c r="G81" s="488"/>
      <c r="H81" s="486"/>
      <c r="I81" s="483"/>
      <c r="J81" s="483"/>
      <c r="K81" s="483"/>
      <c r="L81" s="483"/>
      <c r="M81" s="486"/>
      <c r="N81" s="483"/>
      <c r="O81" s="486"/>
      <c r="P81" s="483">
        <f t="shared" si="1"/>
        <v>0</v>
      </c>
      <c r="Q81" s="375"/>
    </row>
    <row r="82" spans="1:17" ht="108" customHeight="1" hidden="1" outlineLevel="4">
      <c r="A82" s="376"/>
      <c r="B82" s="377" t="s">
        <v>144</v>
      </c>
      <c r="C82" s="370" t="s">
        <v>145</v>
      </c>
      <c r="D82" s="371" t="s">
        <v>146</v>
      </c>
      <c r="E82" s="372">
        <v>58480.28</v>
      </c>
      <c r="F82" s="483"/>
      <c r="G82" s="488"/>
      <c r="H82" s="486"/>
      <c r="I82" s="483"/>
      <c r="J82" s="483"/>
      <c r="K82" s="483"/>
      <c r="L82" s="483"/>
      <c r="M82" s="486"/>
      <c r="N82" s="483"/>
      <c r="O82" s="486"/>
      <c r="P82" s="483">
        <f t="shared" si="1"/>
        <v>0</v>
      </c>
      <c r="Q82" s="379" t="s">
        <v>147</v>
      </c>
    </row>
    <row r="83" spans="1:17" ht="38.25" customHeight="1" hidden="1" outlineLevel="2">
      <c r="A83" s="376" t="s">
        <v>148</v>
      </c>
      <c r="B83" s="377" t="s">
        <v>149</v>
      </c>
      <c r="C83" s="370" t="s">
        <v>150</v>
      </c>
      <c r="D83" s="371" t="s">
        <v>148</v>
      </c>
      <c r="E83" s="373">
        <v>5843542.64</v>
      </c>
      <c r="F83" s="488"/>
      <c r="G83" s="488"/>
      <c r="H83" s="486"/>
      <c r="I83" s="483"/>
      <c r="J83" s="483"/>
      <c r="K83" s="488"/>
      <c r="L83" s="483"/>
      <c r="M83" s="486"/>
      <c r="N83" s="483"/>
      <c r="O83" s="486"/>
      <c r="P83" s="483">
        <f t="shared" si="1"/>
        <v>0</v>
      </c>
      <c r="Q83" s="375" t="s">
        <v>257</v>
      </c>
    </row>
    <row r="84" spans="1:17" ht="15" customHeight="1" hidden="1" outlineLevel="3">
      <c r="A84" s="376" t="s">
        <v>151</v>
      </c>
      <c r="B84" s="377"/>
      <c r="C84" s="370" t="s">
        <v>23</v>
      </c>
      <c r="D84" s="371" t="s">
        <v>151</v>
      </c>
      <c r="E84" s="372"/>
      <c r="F84" s="483"/>
      <c r="G84" s="488"/>
      <c r="H84" s="486"/>
      <c r="I84" s="483"/>
      <c r="J84" s="483"/>
      <c r="K84" s="483"/>
      <c r="L84" s="483"/>
      <c r="M84" s="486"/>
      <c r="N84" s="483"/>
      <c r="O84" s="486"/>
      <c r="P84" s="483">
        <f t="shared" si="1"/>
        <v>0</v>
      </c>
      <c r="Q84" s="378"/>
    </row>
    <row r="85" spans="1:17" ht="128.25" customHeight="1" hidden="1" outlineLevel="4">
      <c r="A85" s="376" t="s">
        <v>152</v>
      </c>
      <c r="B85" s="377"/>
      <c r="C85" s="370" t="s">
        <v>153</v>
      </c>
      <c r="D85" s="371" t="s">
        <v>152</v>
      </c>
      <c r="E85" s="372"/>
      <c r="F85" s="483"/>
      <c r="G85" s="488"/>
      <c r="H85" s="486"/>
      <c r="I85" s="483"/>
      <c r="J85" s="483"/>
      <c r="K85" s="483"/>
      <c r="L85" s="483"/>
      <c r="M85" s="486"/>
      <c r="N85" s="483"/>
      <c r="O85" s="486"/>
      <c r="P85" s="483">
        <f t="shared" si="1"/>
        <v>0</v>
      </c>
      <c r="Q85" s="378"/>
    </row>
    <row r="86" spans="1:17" ht="128.25" customHeight="1" hidden="1" outlineLevel="5">
      <c r="A86" s="376" t="s">
        <v>152</v>
      </c>
      <c r="B86" s="377"/>
      <c r="C86" s="370" t="s">
        <v>154</v>
      </c>
      <c r="D86" s="371" t="s">
        <v>152</v>
      </c>
      <c r="E86" s="372"/>
      <c r="F86" s="483"/>
      <c r="G86" s="488"/>
      <c r="H86" s="486"/>
      <c r="I86" s="483"/>
      <c r="J86" s="483"/>
      <c r="K86" s="483"/>
      <c r="L86" s="483"/>
      <c r="M86" s="486"/>
      <c r="N86" s="483"/>
      <c r="O86" s="486"/>
      <c r="P86" s="483">
        <f t="shared" si="1"/>
        <v>0</v>
      </c>
      <c r="Q86" s="378"/>
    </row>
    <row r="87" spans="1:17" ht="69.75" customHeight="1" hidden="1" outlineLevel="2" collapsed="1">
      <c r="A87" s="376" t="s">
        <v>155</v>
      </c>
      <c r="B87" s="377" t="s">
        <v>156</v>
      </c>
      <c r="C87" s="370" t="s">
        <v>157</v>
      </c>
      <c r="D87" s="371" t="s">
        <v>155</v>
      </c>
      <c r="E87" s="372">
        <v>6172719.82</v>
      </c>
      <c r="F87" s="483"/>
      <c r="G87" s="488"/>
      <c r="H87" s="486"/>
      <c r="I87" s="483"/>
      <c r="J87" s="483"/>
      <c r="K87" s="483"/>
      <c r="L87" s="483"/>
      <c r="M87" s="486"/>
      <c r="N87" s="483"/>
      <c r="O87" s="486"/>
      <c r="P87" s="483">
        <f t="shared" si="1"/>
        <v>0</v>
      </c>
      <c r="Q87" s="375"/>
    </row>
    <row r="88" spans="1:17" ht="98.25" customHeight="1" hidden="1" outlineLevel="1" collapsed="1">
      <c r="A88" s="376" t="s">
        <v>158</v>
      </c>
      <c r="B88" s="377" t="s">
        <v>159</v>
      </c>
      <c r="C88" s="370" t="s">
        <v>160</v>
      </c>
      <c r="D88" s="371" t="s">
        <v>158</v>
      </c>
      <c r="E88" s="372">
        <v>485335.25</v>
      </c>
      <c r="F88" s="483"/>
      <c r="G88" s="488"/>
      <c r="H88" s="486"/>
      <c r="I88" s="483"/>
      <c r="J88" s="483"/>
      <c r="K88" s="483"/>
      <c r="L88" s="483"/>
      <c r="M88" s="486"/>
      <c r="N88" s="483"/>
      <c r="O88" s="486"/>
      <c r="P88" s="483">
        <f t="shared" si="1"/>
        <v>0</v>
      </c>
      <c r="Q88" s="379"/>
    </row>
    <row r="89" spans="1:17" ht="15.75" customHeight="1" hidden="1" outlineLevel="3">
      <c r="A89" s="376" t="s">
        <v>161</v>
      </c>
      <c r="B89" s="377"/>
      <c r="C89" s="370" t="s">
        <v>23</v>
      </c>
      <c r="D89" s="371" t="s">
        <v>161</v>
      </c>
      <c r="E89" s="372">
        <v>2890.68</v>
      </c>
      <c r="F89" s="483"/>
      <c r="G89" s="488"/>
      <c r="H89" s="486"/>
      <c r="I89" s="483"/>
      <c r="J89" s="483"/>
      <c r="K89" s="483"/>
      <c r="L89" s="483"/>
      <c r="M89" s="486"/>
      <c r="N89" s="483"/>
      <c r="O89" s="486"/>
      <c r="P89" s="483">
        <f t="shared" si="1"/>
        <v>0</v>
      </c>
      <c r="Q89" s="378"/>
    </row>
    <row r="90" spans="1:17" ht="90" customHeight="1" hidden="1" outlineLevel="4">
      <c r="A90" s="376" t="s">
        <v>162</v>
      </c>
      <c r="B90" s="377"/>
      <c r="C90" s="370" t="s">
        <v>163</v>
      </c>
      <c r="D90" s="371" t="s">
        <v>162</v>
      </c>
      <c r="E90" s="372">
        <v>0</v>
      </c>
      <c r="F90" s="483"/>
      <c r="G90" s="488"/>
      <c r="H90" s="486"/>
      <c r="I90" s="483"/>
      <c r="J90" s="483"/>
      <c r="K90" s="483"/>
      <c r="L90" s="483"/>
      <c r="M90" s="486"/>
      <c r="N90" s="483"/>
      <c r="O90" s="486"/>
      <c r="P90" s="483">
        <f t="shared" si="1"/>
        <v>0</v>
      </c>
      <c r="Q90" s="378"/>
    </row>
    <row r="91" spans="1:17" ht="90" customHeight="1" hidden="1" outlineLevel="5">
      <c r="A91" s="376" t="s">
        <v>162</v>
      </c>
      <c r="B91" s="377"/>
      <c r="C91" s="370" t="s">
        <v>164</v>
      </c>
      <c r="D91" s="371" t="s">
        <v>162</v>
      </c>
      <c r="E91" s="372">
        <v>2890.68</v>
      </c>
      <c r="F91" s="483"/>
      <c r="G91" s="488"/>
      <c r="H91" s="486"/>
      <c r="I91" s="483"/>
      <c r="J91" s="483"/>
      <c r="K91" s="483"/>
      <c r="L91" s="483"/>
      <c r="M91" s="486"/>
      <c r="N91" s="483"/>
      <c r="O91" s="486"/>
      <c r="P91" s="483">
        <f t="shared" si="1"/>
        <v>0</v>
      </c>
      <c r="Q91" s="378"/>
    </row>
    <row r="92" spans="1:17" ht="90" customHeight="1" hidden="1" outlineLevel="5">
      <c r="A92" s="376" t="s">
        <v>165</v>
      </c>
      <c r="B92" s="377"/>
      <c r="C92" s="370" t="s">
        <v>164</v>
      </c>
      <c r="D92" s="371" t="s">
        <v>165</v>
      </c>
      <c r="E92" s="372">
        <v>53.23</v>
      </c>
      <c r="F92" s="483"/>
      <c r="G92" s="488"/>
      <c r="H92" s="486"/>
      <c r="I92" s="483"/>
      <c r="J92" s="483"/>
      <c r="K92" s="483"/>
      <c r="L92" s="483"/>
      <c r="M92" s="486"/>
      <c r="N92" s="483"/>
      <c r="O92" s="486"/>
      <c r="P92" s="483">
        <f t="shared" si="1"/>
        <v>0</v>
      </c>
      <c r="Q92" s="378"/>
    </row>
    <row r="93" spans="1:17" ht="15.75" customHeight="1" hidden="1" outlineLevel="3">
      <c r="A93" s="376" t="s">
        <v>166</v>
      </c>
      <c r="B93" s="377"/>
      <c r="C93" s="370" t="s">
        <v>23</v>
      </c>
      <c r="D93" s="371" t="s">
        <v>166</v>
      </c>
      <c r="E93" s="372">
        <v>53.23</v>
      </c>
      <c r="F93" s="483"/>
      <c r="G93" s="488"/>
      <c r="H93" s="486"/>
      <c r="I93" s="483"/>
      <c r="J93" s="483"/>
      <c r="K93" s="483"/>
      <c r="L93" s="483"/>
      <c r="M93" s="486"/>
      <c r="N93" s="483"/>
      <c r="O93" s="486"/>
      <c r="P93" s="483">
        <f t="shared" si="1"/>
        <v>0</v>
      </c>
      <c r="Q93" s="378"/>
    </row>
    <row r="94" spans="1:17" ht="90" customHeight="1" hidden="1" outlineLevel="4">
      <c r="A94" s="376" t="s">
        <v>167</v>
      </c>
      <c r="B94" s="377"/>
      <c r="C94" s="370" t="s">
        <v>168</v>
      </c>
      <c r="D94" s="371" t="s">
        <v>167</v>
      </c>
      <c r="E94" s="372">
        <v>53.23</v>
      </c>
      <c r="F94" s="483"/>
      <c r="G94" s="488"/>
      <c r="H94" s="486"/>
      <c r="I94" s="483"/>
      <c r="J94" s="483"/>
      <c r="K94" s="483"/>
      <c r="L94" s="483"/>
      <c r="M94" s="486"/>
      <c r="N94" s="483"/>
      <c r="O94" s="486"/>
      <c r="P94" s="483">
        <f t="shared" si="1"/>
        <v>0</v>
      </c>
      <c r="Q94" s="378"/>
    </row>
    <row r="95" spans="1:17" ht="90" customHeight="1" hidden="1" outlineLevel="5">
      <c r="A95" s="376" t="s">
        <v>169</v>
      </c>
      <c r="B95" s="377"/>
      <c r="C95" s="370" t="s">
        <v>170</v>
      </c>
      <c r="D95" s="371" t="s">
        <v>169</v>
      </c>
      <c r="E95" s="372">
        <v>481.81</v>
      </c>
      <c r="F95" s="483"/>
      <c r="G95" s="488"/>
      <c r="H95" s="486"/>
      <c r="I95" s="483"/>
      <c r="J95" s="483"/>
      <c r="K95" s="483"/>
      <c r="L95" s="483"/>
      <c r="M95" s="486"/>
      <c r="N95" s="483"/>
      <c r="O95" s="486"/>
      <c r="P95" s="483">
        <f t="shared" si="1"/>
        <v>0</v>
      </c>
      <c r="Q95" s="378"/>
    </row>
    <row r="96" spans="1:17" ht="15.75" customHeight="1" hidden="1" outlineLevel="3">
      <c r="A96" s="376" t="s">
        <v>171</v>
      </c>
      <c r="B96" s="377"/>
      <c r="C96" s="370" t="s">
        <v>23</v>
      </c>
      <c r="D96" s="371" t="s">
        <v>171</v>
      </c>
      <c r="E96" s="372">
        <v>481.81</v>
      </c>
      <c r="F96" s="483"/>
      <c r="G96" s="488"/>
      <c r="H96" s="486"/>
      <c r="I96" s="483"/>
      <c r="J96" s="483"/>
      <c r="K96" s="483"/>
      <c r="L96" s="483"/>
      <c r="M96" s="486"/>
      <c r="N96" s="483"/>
      <c r="O96" s="486"/>
      <c r="P96" s="483">
        <f t="shared" si="1"/>
        <v>0</v>
      </c>
      <c r="Q96" s="378"/>
    </row>
    <row r="97" spans="1:17" ht="45" customHeight="1" hidden="1" outlineLevel="4">
      <c r="A97" s="376" t="s">
        <v>172</v>
      </c>
      <c r="B97" s="377"/>
      <c r="C97" s="370" t="s">
        <v>173</v>
      </c>
      <c r="D97" s="371" t="s">
        <v>172</v>
      </c>
      <c r="E97" s="372">
        <v>0</v>
      </c>
      <c r="F97" s="483"/>
      <c r="G97" s="488"/>
      <c r="H97" s="486"/>
      <c r="I97" s="483"/>
      <c r="J97" s="483"/>
      <c r="K97" s="483"/>
      <c r="L97" s="483"/>
      <c r="M97" s="486"/>
      <c r="N97" s="483"/>
      <c r="O97" s="486"/>
      <c r="P97" s="483">
        <f t="shared" si="1"/>
        <v>0</v>
      </c>
      <c r="Q97" s="378"/>
    </row>
    <row r="98" spans="1:17" ht="60" customHeight="1" hidden="1" outlineLevel="5">
      <c r="A98" s="376" t="s">
        <v>172</v>
      </c>
      <c r="B98" s="377"/>
      <c r="C98" s="370" t="s">
        <v>174</v>
      </c>
      <c r="D98" s="371" t="s">
        <v>172</v>
      </c>
      <c r="E98" s="372">
        <v>481.81</v>
      </c>
      <c r="F98" s="483"/>
      <c r="G98" s="488"/>
      <c r="H98" s="486"/>
      <c r="I98" s="483"/>
      <c r="J98" s="483"/>
      <c r="K98" s="483"/>
      <c r="L98" s="483"/>
      <c r="M98" s="486"/>
      <c r="N98" s="483"/>
      <c r="O98" s="486"/>
      <c r="P98" s="483">
        <f t="shared" si="1"/>
        <v>0</v>
      </c>
      <c r="Q98" s="378"/>
    </row>
    <row r="99" spans="1:17" ht="60" customHeight="1" hidden="1" outlineLevel="5">
      <c r="A99" s="376" t="s">
        <v>175</v>
      </c>
      <c r="B99" s="377"/>
      <c r="C99" s="370" t="s">
        <v>176</v>
      </c>
      <c r="D99" s="371" t="s">
        <v>175</v>
      </c>
      <c r="E99" s="372">
        <v>39261.54</v>
      </c>
      <c r="F99" s="483"/>
      <c r="G99" s="488"/>
      <c r="H99" s="486"/>
      <c r="I99" s="483"/>
      <c r="J99" s="483"/>
      <c r="K99" s="483"/>
      <c r="L99" s="483"/>
      <c r="M99" s="486"/>
      <c r="N99" s="483"/>
      <c r="O99" s="486"/>
      <c r="P99" s="483">
        <f t="shared" si="1"/>
        <v>0</v>
      </c>
      <c r="Q99" s="378"/>
    </row>
    <row r="100" spans="1:17" ht="15.75" customHeight="1" hidden="1" outlineLevel="3">
      <c r="A100" s="376" t="s">
        <v>177</v>
      </c>
      <c r="B100" s="377"/>
      <c r="C100" s="370" t="s">
        <v>23</v>
      </c>
      <c r="D100" s="371" t="s">
        <v>177</v>
      </c>
      <c r="E100" s="372">
        <v>39261.54</v>
      </c>
      <c r="F100" s="483"/>
      <c r="G100" s="488"/>
      <c r="H100" s="486"/>
      <c r="I100" s="483"/>
      <c r="J100" s="483"/>
      <c r="K100" s="483"/>
      <c r="L100" s="483"/>
      <c r="M100" s="486"/>
      <c r="N100" s="483"/>
      <c r="O100" s="486"/>
      <c r="P100" s="483">
        <f t="shared" si="1"/>
        <v>0</v>
      </c>
      <c r="Q100" s="378"/>
    </row>
    <row r="101" spans="1:17" ht="60" customHeight="1" hidden="1" outlineLevel="4">
      <c r="A101" s="376" t="s">
        <v>178</v>
      </c>
      <c r="B101" s="377"/>
      <c r="C101" s="370" t="s">
        <v>179</v>
      </c>
      <c r="D101" s="371" t="s">
        <v>178</v>
      </c>
      <c r="E101" s="372">
        <v>0</v>
      </c>
      <c r="F101" s="483"/>
      <c r="G101" s="488"/>
      <c r="H101" s="486"/>
      <c r="I101" s="483"/>
      <c r="J101" s="483"/>
      <c r="K101" s="483"/>
      <c r="L101" s="483"/>
      <c r="M101" s="486"/>
      <c r="N101" s="483"/>
      <c r="O101" s="486"/>
      <c r="P101" s="483">
        <f t="shared" si="1"/>
        <v>0</v>
      </c>
      <c r="Q101" s="378"/>
    </row>
    <row r="102" spans="1:17" ht="60" customHeight="1" hidden="1" outlineLevel="5">
      <c r="A102" s="376" t="s">
        <v>178</v>
      </c>
      <c r="B102" s="377"/>
      <c r="C102" s="370" t="s">
        <v>180</v>
      </c>
      <c r="D102" s="371" t="s">
        <v>178</v>
      </c>
      <c r="E102" s="372">
        <v>39261.54</v>
      </c>
      <c r="F102" s="483"/>
      <c r="G102" s="488"/>
      <c r="H102" s="486"/>
      <c r="I102" s="483"/>
      <c r="J102" s="483"/>
      <c r="K102" s="483"/>
      <c r="L102" s="483"/>
      <c r="M102" s="486"/>
      <c r="N102" s="483"/>
      <c r="O102" s="486"/>
      <c r="P102" s="483">
        <f t="shared" si="1"/>
        <v>0</v>
      </c>
      <c r="Q102" s="378"/>
    </row>
    <row r="103" spans="1:17" ht="60" customHeight="1" hidden="1" outlineLevel="5">
      <c r="A103" s="376" t="s">
        <v>181</v>
      </c>
      <c r="B103" s="377"/>
      <c r="C103" s="370" t="s">
        <v>182</v>
      </c>
      <c r="D103" s="371" t="s">
        <v>181</v>
      </c>
      <c r="E103" s="372">
        <f>E104+E105</f>
        <v>10003098.77</v>
      </c>
      <c r="F103" s="483"/>
      <c r="G103" s="488"/>
      <c r="H103" s="486"/>
      <c r="I103" s="483"/>
      <c r="J103" s="483"/>
      <c r="K103" s="483"/>
      <c r="L103" s="483"/>
      <c r="M103" s="486"/>
      <c r="N103" s="483"/>
      <c r="O103" s="486"/>
      <c r="P103" s="483">
        <f t="shared" si="1"/>
        <v>0</v>
      </c>
      <c r="Q103" s="378"/>
    </row>
    <row r="104" spans="1:17" ht="78.75" customHeight="1" hidden="1" outlineLevel="1" collapsed="1">
      <c r="A104" s="376" t="s">
        <v>183</v>
      </c>
      <c r="B104" s="377" t="s">
        <v>184</v>
      </c>
      <c r="C104" s="370" t="s">
        <v>185</v>
      </c>
      <c r="D104" s="371" t="s">
        <v>183</v>
      </c>
      <c r="E104" s="372">
        <f>E105+E106</f>
        <v>6949209.46</v>
      </c>
      <c r="F104" s="483"/>
      <c r="G104" s="488"/>
      <c r="H104" s="486"/>
      <c r="I104" s="483"/>
      <c r="J104" s="483"/>
      <c r="K104" s="483"/>
      <c r="L104" s="483"/>
      <c r="M104" s="486"/>
      <c r="N104" s="483"/>
      <c r="O104" s="486"/>
      <c r="P104" s="483">
        <f t="shared" si="1"/>
        <v>0</v>
      </c>
      <c r="Q104" s="378"/>
    </row>
    <row r="105" spans="1:17" ht="62.25" customHeight="1" hidden="1" outlineLevel="2">
      <c r="A105" s="376" t="s">
        <v>186</v>
      </c>
      <c r="B105" s="377" t="s">
        <v>187</v>
      </c>
      <c r="C105" s="370" t="s">
        <v>188</v>
      </c>
      <c r="D105" s="371" t="s">
        <v>186</v>
      </c>
      <c r="E105" s="372">
        <v>3053889.31</v>
      </c>
      <c r="F105" s="483"/>
      <c r="G105" s="488"/>
      <c r="H105" s="486"/>
      <c r="I105" s="483"/>
      <c r="J105" s="483"/>
      <c r="K105" s="483"/>
      <c r="L105" s="483"/>
      <c r="M105" s="486"/>
      <c r="N105" s="483"/>
      <c r="O105" s="486"/>
      <c r="P105" s="483">
        <f t="shared" si="1"/>
        <v>0</v>
      </c>
      <c r="Q105" s="379"/>
    </row>
    <row r="106" spans="1:17" ht="45.75" customHeight="1" hidden="1" outlineLevel="3">
      <c r="A106" s="376" t="s">
        <v>189</v>
      </c>
      <c r="B106" s="377" t="s">
        <v>190</v>
      </c>
      <c r="C106" s="370" t="s">
        <v>191</v>
      </c>
      <c r="D106" s="371" t="s">
        <v>192</v>
      </c>
      <c r="E106" s="373">
        <v>3895320.15</v>
      </c>
      <c r="F106" s="488"/>
      <c r="G106" s="488"/>
      <c r="H106" s="486"/>
      <c r="I106" s="483"/>
      <c r="J106" s="483"/>
      <c r="K106" s="488"/>
      <c r="L106" s="483"/>
      <c r="M106" s="486"/>
      <c r="N106" s="483"/>
      <c r="O106" s="486"/>
      <c r="P106" s="483">
        <f t="shared" si="1"/>
        <v>0</v>
      </c>
      <c r="Q106" s="375" t="s">
        <v>292</v>
      </c>
    </row>
    <row r="107" spans="1:17" ht="75.75" customHeight="1" outlineLevel="1" collapsed="1">
      <c r="A107" s="376" t="s">
        <v>193</v>
      </c>
      <c r="B107" s="377" t="s">
        <v>194</v>
      </c>
      <c r="C107" s="370" t="s">
        <v>195</v>
      </c>
      <c r="D107" s="371" t="s">
        <v>193</v>
      </c>
      <c r="E107" s="372">
        <f>E108+E109</f>
        <v>19228417.560000002</v>
      </c>
      <c r="F107" s="483">
        <v>15.4</v>
      </c>
      <c r="G107" s="488"/>
      <c r="H107" s="486"/>
      <c r="I107" s="483"/>
      <c r="J107" s="483"/>
      <c r="K107" s="483">
        <v>35.7</v>
      </c>
      <c r="L107" s="483"/>
      <c r="M107" s="486"/>
      <c r="N107" s="483"/>
      <c r="O107" s="486"/>
      <c r="P107" s="483">
        <f t="shared" si="1"/>
        <v>20.300000000000004</v>
      </c>
      <c r="Q107" s="378"/>
    </row>
    <row r="108" spans="1:17" ht="75.75" customHeight="1" hidden="1" outlineLevel="2">
      <c r="A108" s="376" t="s">
        <v>196</v>
      </c>
      <c r="B108" s="377" t="s">
        <v>197</v>
      </c>
      <c r="C108" s="370" t="s">
        <v>198</v>
      </c>
      <c r="D108" s="371" t="s">
        <v>196</v>
      </c>
      <c r="E108" s="372">
        <v>7574993.66</v>
      </c>
      <c r="F108" s="483"/>
      <c r="G108" s="488"/>
      <c r="H108" s="486"/>
      <c r="I108" s="483"/>
      <c r="J108" s="483"/>
      <c r="K108" s="483"/>
      <c r="L108" s="483"/>
      <c r="M108" s="486"/>
      <c r="N108" s="483"/>
      <c r="O108" s="486"/>
      <c r="P108" s="483">
        <f t="shared" si="1"/>
        <v>0</v>
      </c>
      <c r="Q108" s="379"/>
    </row>
    <row r="109" spans="1:17" ht="36" customHeight="1" hidden="1" outlineLevel="2">
      <c r="A109" s="376" t="s">
        <v>199</v>
      </c>
      <c r="B109" s="377" t="s">
        <v>200</v>
      </c>
      <c r="C109" s="370" t="s">
        <v>201</v>
      </c>
      <c r="D109" s="371" t="s">
        <v>199</v>
      </c>
      <c r="E109" s="372">
        <v>11653423.9</v>
      </c>
      <c r="F109" s="483"/>
      <c r="G109" s="488"/>
      <c r="H109" s="486"/>
      <c r="I109" s="483"/>
      <c r="J109" s="483"/>
      <c r="K109" s="483"/>
      <c r="L109" s="483"/>
      <c r="M109" s="486"/>
      <c r="N109" s="483"/>
      <c r="O109" s="486"/>
      <c r="P109" s="483">
        <f t="shared" si="1"/>
        <v>0</v>
      </c>
      <c r="Q109" s="375"/>
    </row>
    <row r="110" spans="1:17" ht="42" customHeight="1" outlineLevel="1" collapsed="1">
      <c r="A110" s="376" t="s">
        <v>202</v>
      </c>
      <c r="B110" s="377" t="s">
        <v>203</v>
      </c>
      <c r="C110" s="370" t="s">
        <v>204</v>
      </c>
      <c r="D110" s="371" t="s">
        <v>202</v>
      </c>
      <c r="E110" s="372">
        <v>1668058.37</v>
      </c>
      <c r="F110" s="483">
        <v>1.3</v>
      </c>
      <c r="G110" s="488"/>
      <c r="H110" s="486"/>
      <c r="I110" s="483"/>
      <c r="J110" s="483"/>
      <c r="K110" s="483">
        <v>4.6</v>
      </c>
      <c r="L110" s="483"/>
      <c r="M110" s="486"/>
      <c r="N110" s="483"/>
      <c r="O110" s="486"/>
      <c r="P110" s="483">
        <f t="shared" si="1"/>
        <v>3.3</v>
      </c>
      <c r="Q110" s="379" t="s">
        <v>291</v>
      </c>
    </row>
    <row r="111" spans="1:17" ht="41.25" customHeight="1" outlineLevel="1">
      <c r="A111" s="376" t="s">
        <v>205</v>
      </c>
      <c r="B111" s="377" t="s">
        <v>206</v>
      </c>
      <c r="C111" s="370" t="s">
        <v>207</v>
      </c>
      <c r="D111" s="371" t="s">
        <v>205</v>
      </c>
      <c r="E111" s="372">
        <f>E112+E113+E114+E115+E116+E117+E118</f>
        <v>7747287.5</v>
      </c>
      <c r="F111" s="483">
        <v>5.8</v>
      </c>
      <c r="G111" s="488"/>
      <c r="H111" s="486"/>
      <c r="I111" s="483"/>
      <c r="J111" s="483"/>
      <c r="K111" s="483">
        <v>13</v>
      </c>
      <c r="L111" s="483"/>
      <c r="M111" s="483"/>
      <c r="N111" s="483"/>
      <c r="O111" s="486"/>
      <c r="P111" s="483">
        <f t="shared" si="1"/>
        <v>7.2</v>
      </c>
      <c r="Q111" s="378"/>
    </row>
    <row r="112" spans="1:17" ht="72" customHeight="1" hidden="1" outlineLevel="1">
      <c r="A112" s="376"/>
      <c r="B112" s="377" t="s">
        <v>208</v>
      </c>
      <c r="C112" s="370" t="s">
        <v>209</v>
      </c>
      <c r="D112" s="371" t="s">
        <v>210</v>
      </c>
      <c r="E112" s="372">
        <v>0</v>
      </c>
      <c r="F112" s="372">
        <v>17538.6</v>
      </c>
      <c r="G112" s="373"/>
      <c r="H112" s="374"/>
      <c r="I112" s="372"/>
      <c r="J112" s="372"/>
      <c r="K112" s="372"/>
      <c r="L112" s="372">
        <f aca="true" t="shared" si="2" ref="L112:L118">K112-J112</f>
        <v>0</v>
      </c>
      <c r="M112" s="374"/>
      <c r="N112" s="372">
        <f aca="true" t="shared" si="3" ref="N112:N118">K112-I112</f>
        <v>0</v>
      </c>
      <c r="O112" s="374"/>
      <c r="P112" s="483">
        <f t="shared" si="1"/>
        <v>-17538.6</v>
      </c>
      <c r="Q112" s="378"/>
    </row>
    <row r="113" spans="1:17" ht="94.5" customHeight="1" hidden="1" outlineLevel="5">
      <c r="A113" s="376" t="s">
        <v>211</v>
      </c>
      <c r="B113" s="377" t="s">
        <v>212</v>
      </c>
      <c r="C113" s="370" t="s">
        <v>213</v>
      </c>
      <c r="D113" s="371" t="s">
        <v>211</v>
      </c>
      <c r="E113" s="372">
        <v>898909.4</v>
      </c>
      <c r="F113" s="372">
        <v>409910.6</v>
      </c>
      <c r="G113" s="373">
        <f aca="true" t="shared" si="4" ref="G113:G128">F113-E113</f>
        <v>-488998.80000000005</v>
      </c>
      <c r="H113" s="374">
        <f aca="true" t="shared" si="5" ref="H113:H128">F113/E113</f>
        <v>0.4560088035568434</v>
      </c>
      <c r="I113" s="372">
        <v>936864.56</v>
      </c>
      <c r="J113" s="372"/>
      <c r="K113" s="372">
        <v>605149.2</v>
      </c>
      <c r="L113" s="372">
        <f t="shared" si="2"/>
        <v>605149.2</v>
      </c>
      <c r="M113" s="374">
        <f>I113/G113</f>
        <v>-1.9158831473615068</v>
      </c>
      <c r="N113" s="372">
        <f t="shared" si="3"/>
        <v>-331715.3600000001</v>
      </c>
      <c r="O113" s="374">
        <f aca="true" t="shared" si="6" ref="O113:O125">K113/I113</f>
        <v>0.6459302932752626</v>
      </c>
      <c r="P113" s="483">
        <f t="shared" si="1"/>
        <v>195238.59999999998</v>
      </c>
      <c r="Q113" s="375" t="s">
        <v>259</v>
      </c>
    </row>
    <row r="114" spans="1:17" ht="61.5" customHeight="1" hidden="1" outlineLevel="5">
      <c r="A114" s="376" t="s">
        <v>214</v>
      </c>
      <c r="B114" s="377" t="s">
        <v>215</v>
      </c>
      <c r="C114" s="370" t="s">
        <v>216</v>
      </c>
      <c r="D114" s="371" t="s">
        <v>214</v>
      </c>
      <c r="E114" s="372">
        <v>91219.38</v>
      </c>
      <c r="F114" s="372">
        <v>27826.12</v>
      </c>
      <c r="G114" s="373">
        <f t="shared" si="4"/>
        <v>-63393.26000000001</v>
      </c>
      <c r="H114" s="374">
        <f t="shared" si="5"/>
        <v>0.3050461426069767</v>
      </c>
      <c r="I114" s="372">
        <v>33077</v>
      </c>
      <c r="J114" s="372">
        <v>4255</v>
      </c>
      <c r="K114" s="372"/>
      <c r="L114" s="372">
        <f t="shared" si="2"/>
        <v>-4255</v>
      </c>
      <c r="M114" s="374">
        <f>I114/G114</f>
        <v>-0.5217747123274619</v>
      </c>
      <c r="N114" s="372">
        <f t="shared" si="3"/>
        <v>-33077</v>
      </c>
      <c r="O114" s="374">
        <f t="shared" si="6"/>
        <v>0</v>
      </c>
      <c r="P114" s="483">
        <f t="shared" si="1"/>
        <v>-27826.12</v>
      </c>
      <c r="Q114" s="375" t="s">
        <v>293</v>
      </c>
    </row>
    <row r="115" spans="1:17" ht="79.5" customHeight="1" hidden="1" outlineLevel="5">
      <c r="A115" s="376" t="s">
        <v>217</v>
      </c>
      <c r="B115" s="377" t="s">
        <v>218</v>
      </c>
      <c r="C115" s="370" t="s">
        <v>219</v>
      </c>
      <c r="D115" s="371" t="s">
        <v>217</v>
      </c>
      <c r="E115" s="372">
        <v>0</v>
      </c>
      <c r="F115" s="372"/>
      <c r="G115" s="373">
        <f t="shared" si="4"/>
        <v>0</v>
      </c>
      <c r="H115" s="374"/>
      <c r="I115" s="372">
        <v>6000000</v>
      </c>
      <c r="J115" s="372"/>
      <c r="K115" s="372">
        <v>6000000</v>
      </c>
      <c r="L115" s="372">
        <f t="shared" si="2"/>
        <v>6000000</v>
      </c>
      <c r="M115" s="374"/>
      <c r="N115" s="372">
        <f t="shared" si="3"/>
        <v>0</v>
      </c>
      <c r="O115" s="374"/>
      <c r="P115" s="483">
        <f t="shared" si="1"/>
        <v>6000000</v>
      </c>
      <c r="Q115" s="375"/>
    </row>
    <row r="116" spans="1:17" ht="45" customHeight="1" hidden="1" outlineLevel="5">
      <c r="A116" s="376" t="s">
        <v>220</v>
      </c>
      <c r="B116" s="377"/>
      <c r="C116" s="370" t="s">
        <v>221</v>
      </c>
      <c r="D116" s="371" t="s">
        <v>220</v>
      </c>
      <c r="E116" s="372"/>
      <c r="F116" s="372"/>
      <c r="G116" s="373">
        <f t="shared" si="4"/>
        <v>0</v>
      </c>
      <c r="H116" s="374" t="e">
        <f t="shared" si="5"/>
        <v>#DIV/0!</v>
      </c>
      <c r="I116" s="372"/>
      <c r="J116" s="372"/>
      <c r="K116" s="372"/>
      <c r="L116" s="372">
        <f t="shared" si="2"/>
        <v>0</v>
      </c>
      <c r="M116" s="374" t="e">
        <f aca="true" t="shared" si="7" ref="M116:M125">I116/G116</f>
        <v>#DIV/0!</v>
      </c>
      <c r="N116" s="372">
        <f t="shared" si="3"/>
        <v>0</v>
      </c>
      <c r="O116" s="374" t="e">
        <f t="shared" si="6"/>
        <v>#DIV/0!</v>
      </c>
      <c r="P116" s="483">
        <f t="shared" si="1"/>
        <v>0</v>
      </c>
      <c r="Q116" s="375" t="s">
        <v>222</v>
      </c>
    </row>
    <row r="117" spans="1:17" ht="117" customHeight="1" hidden="1" outlineLevel="5">
      <c r="A117" s="376" t="s">
        <v>223</v>
      </c>
      <c r="B117" s="380" t="s">
        <v>224</v>
      </c>
      <c r="C117" s="381" t="s">
        <v>225</v>
      </c>
      <c r="D117" s="382" t="s">
        <v>223</v>
      </c>
      <c r="E117" s="383">
        <v>5165454.72</v>
      </c>
      <c r="F117" s="383">
        <v>3233827.3</v>
      </c>
      <c r="G117" s="384">
        <f t="shared" si="4"/>
        <v>-1931627.42</v>
      </c>
      <c r="H117" s="385">
        <f t="shared" si="5"/>
        <v>0.6260489105594174</v>
      </c>
      <c r="I117" s="383">
        <f>4745840.52+1000000</f>
        <v>5745840.52</v>
      </c>
      <c r="J117" s="383">
        <v>913882.48</v>
      </c>
      <c r="K117" s="383">
        <v>4519928.43</v>
      </c>
      <c r="L117" s="383">
        <f t="shared" si="2"/>
        <v>3606045.9499999997</v>
      </c>
      <c r="M117" s="385">
        <f t="shared" si="7"/>
        <v>-2.9746111804521806</v>
      </c>
      <c r="N117" s="383">
        <f t="shared" si="3"/>
        <v>-1225912.0899999999</v>
      </c>
      <c r="O117" s="385">
        <f t="shared" si="6"/>
        <v>0.7866435579384998</v>
      </c>
      <c r="P117" s="483">
        <f t="shared" si="1"/>
        <v>1286101.13</v>
      </c>
      <c r="Q117" s="386" t="s">
        <v>287</v>
      </c>
    </row>
    <row r="118" spans="1:17" ht="47.25" customHeight="1" hidden="1" outlineLevel="5">
      <c r="A118" s="376"/>
      <c r="B118" s="377" t="s">
        <v>226</v>
      </c>
      <c r="C118" s="387" t="s">
        <v>227</v>
      </c>
      <c r="D118" s="388"/>
      <c r="E118" s="389">
        <v>1591704</v>
      </c>
      <c r="F118" s="389">
        <v>1591704</v>
      </c>
      <c r="G118" s="390">
        <f t="shared" si="4"/>
        <v>0</v>
      </c>
      <c r="H118" s="391">
        <f t="shared" si="5"/>
        <v>1</v>
      </c>
      <c r="I118" s="389">
        <v>1289000</v>
      </c>
      <c r="J118" s="389"/>
      <c r="K118" s="389">
        <v>1289000</v>
      </c>
      <c r="L118" s="383">
        <f t="shared" si="2"/>
        <v>1289000</v>
      </c>
      <c r="M118" s="391" t="e">
        <f t="shared" si="7"/>
        <v>#DIV/0!</v>
      </c>
      <c r="N118" s="383">
        <f t="shared" si="3"/>
        <v>0</v>
      </c>
      <c r="O118" s="391"/>
      <c r="P118" s="483">
        <f t="shared" si="1"/>
        <v>-302704</v>
      </c>
      <c r="Q118" s="392" t="s">
        <v>269</v>
      </c>
    </row>
    <row r="119" spans="1:17" ht="31.5" customHeight="1" hidden="1">
      <c r="A119" s="376" t="s">
        <v>228</v>
      </c>
      <c r="B119" s="377" t="s">
        <v>226</v>
      </c>
      <c r="C119" s="424" t="s">
        <v>229</v>
      </c>
      <c r="D119" s="425" t="s">
        <v>228</v>
      </c>
      <c r="E119" s="426">
        <f>E120+E124+E125+E126+E127+E128</f>
        <v>3087425772.07</v>
      </c>
      <c r="F119" s="426">
        <f>F120+F124+F125+F126+F127+F128</f>
        <v>1472247111.5499997</v>
      </c>
      <c r="G119" s="427">
        <f t="shared" si="4"/>
        <v>-1615178660.5200005</v>
      </c>
      <c r="H119" s="428">
        <f t="shared" si="5"/>
        <v>0.4768526339543103</v>
      </c>
      <c r="I119" s="426">
        <f>I120+I124+I125+I126+I127+I128</f>
        <v>2536675142.27</v>
      </c>
      <c r="J119" s="426" t="s">
        <v>230</v>
      </c>
      <c r="K119" s="426">
        <f>K120+K124+K125+K126+K127+K128</f>
        <v>1294826540.86</v>
      </c>
      <c r="L119" s="426" t="s">
        <v>230</v>
      </c>
      <c r="M119" s="428">
        <f t="shared" si="7"/>
        <v>-1.570522942306164</v>
      </c>
      <c r="N119" s="426">
        <f>N120+N124+N125+N128</f>
        <v>-1173294298.98</v>
      </c>
      <c r="O119" s="428">
        <f t="shared" si="6"/>
        <v>0.5104423973269575</v>
      </c>
      <c r="P119" s="483">
        <f t="shared" si="1"/>
        <v>-177420570.68999982</v>
      </c>
      <c r="Q119" s="429"/>
    </row>
    <row r="120" spans="1:17" ht="39.75" customHeight="1" hidden="1" outlineLevel="2">
      <c r="A120" s="376" t="s">
        <v>231</v>
      </c>
      <c r="B120" s="377" t="s">
        <v>232</v>
      </c>
      <c r="C120" s="393" t="s">
        <v>233</v>
      </c>
      <c r="D120" s="394" t="s">
        <v>231</v>
      </c>
      <c r="E120" s="395">
        <v>473098326.55</v>
      </c>
      <c r="F120" s="395">
        <v>257860452.77</v>
      </c>
      <c r="G120" s="396">
        <f t="shared" si="4"/>
        <v>-215237873.78</v>
      </c>
      <c r="H120" s="397">
        <f t="shared" si="5"/>
        <v>0.545046216185987</v>
      </c>
      <c r="I120" s="395">
        <v>508358928.62</v>
      </c>
      <c r="J120" s="395" t="s">
        <v>230</v>
      </c>
      <c r="K120" s="395">
        <v>300984643.62</v>
      </c>
      <c r="L120" s="395" t="s">
        <v>230</v>
      </c>
      <c r="M120" s="397">
        <f t="shared" si="7"/>
        <v>-2.3618470099718896</v>
      </c>
      <c r="N120" s="383">
        <f aca="true" t="shared" si="8" ref="N120:N127">K120-I120</f>
        <v>-207374285</v>
      </c>
      <c r="O120" s="397">
        <f t="shared" si="6"/>
        <v>0.5920711266684312</v>
      </c>
      <c r="P120" s="483">
        <f t="shared" si="1"/>
        <v>43124190.849999994</v>
      </c>
      <c r="Q120" s="398"/>
    </row>
    <row r="121" spans="1:17" ht="42.75" customHeight="1" hidden="1" outlineLevel="3">
      <c r="A121" s="376" t="s">
        <v>234</v>
      </c>
      <c r="B121" s="377"/>
      <c r="C121" s="370" t="s">
        <v>235</v>
      </c>
      <c r="D121" s="371" t="s">
        <v>234</v>
      </c>
      <c r="E121" s="372"/>
      <c r="F121" s="372"/>
      <c r="G121" s="396">
        <f t="shared" si="4"/>
        <v>0</v>
      </c>
      <c r="H121" s="397" t="e">
        <f t="shared" si="5"/>
        <v>#DIV/0!</v>
      </c>
      <c r="I121" s="372"/>
      <c r="J121" s="372"/>
      <c r="K121" s="372"/>
      <c r="L121" s="372"/>
      <c r="M121" s="397" t="e">
        <f t="shared" si="7"/>
        <v>#DIV/0!</v>
      </c>
      <c r="N121" s="383">
        <f t="shared" si="8"/>
        <v>0</v>
      </c>
      <c r="O121" s="397" t="e">
        <f t="shared" si="6"/>
        <v>#DIV/0!</v>
      </c>
      <c r="P121" s="483">
        <f t="shared" si="1"/>
        <v>0</v>
      </c>
      <c r="Q121" s="399"/>
    </row>
    <row r="122" spans="1:17" ht="71.25" customHeight="1" hidden="1" outlineLevel="4">
      <c r="A122" s="376" t="s">
        <v>236</v>
      </c>
      <c r="B122" s="377"/>
      <c r="C122" s="370" t="s">
        <v>237</v>
      </c>
      <c r="D122" s="371" t="s">
        <v>236</v>
      </c>
      <c r="E122" s="372"/>
      <c r="F122" s="372"/>
      <c r="G122" s="396">
        <f t="shared" si="4"/>
        <v>0</v>
      </c>
      <c r="H122" s="397" t="e">
        <f t="shared" si="5"/>
        <v>#DIV/0!</v>
      </c>
      <c r="I122" s="372"/>
      <c r="J122" s="372"/>
      <c r="K122" s="372"/>
      <c r="L122" s="372"/>
      <c r="M122" s="397" t="e">
        <f t="shared" si="7"/>
        <v>#DIV/0!</v>
      </c>
      <c r="N122" s="383">
        <f t="shared" si="8"/>
        <v>0</v>
      </c>
      <c r="O122" s="397" t="e">
        <f t="shared" si="6"/>
        <v>#DIV/0!</v>
      </c>
      <c r="P122" s="483">
        <f t="shared" si="1"/>
        <v>0</v>
      </c>
      <c r="Q122" s="399"/>
    </row>
    <row r="123" spans="1:17" ht="71.25" customHeight="1" hidden="1" outlineLevel="5">
      <c r="A123" s="376" t="s">
        <v>236</v>
      </c>
      <c r="B123" s="377"/>
      <c r="C123" s="370" t="s">
        <v>238</v>
      </c>
      <c r="D123" s="371" t="s">
        <v>236</v>
      </c>
      <c r="E123" s="372"/>
      <c r="F123" s="372"/>
      <c r="G123" s="396">
        <f t="shared" si="4"/>
        <v>0</v>
      </c>
      <c r="H123" s="397" t="e">
        <f t="shared" si="5"/>
        <v>#DIV/0!</v>
      </c>
      <c r="I123" s="372"/>
      <c r="J123" s="372"/>
      <c r="K123" s="372"/>
      <c r="L123" s="372"/>
      <c r="M123" s="397" t="e">
        <f t="shared" si="7"/>
        <v>#DIV/0!</v>
      </c>
      <c r="N123" s="383">
        <f t="shared" si="8"/>
        <v>0</v>
      </c>
      <c r="O123" s="397" t="e">
        <f t="shared" si="6"/>
        <v>#DIV/0!</v>
      </c>
      <c r="P123" s="483">
        <f t="shared" si="1"/>
        <v>0</v>
      </c>
      <c r="Q123" s="399"/>
    </row>
    <row r="124" spans="1:17" ht="21" customHeight="1" hidden="1" outlineLevel="2" collapsed="1">
      <c r="A124" s="376" t="s">
        <v>239</v>
      </c>
      <c r="B124" s="377" t="s">
        <v>240</v>
      </c>
      <c r="C124" s="370" t="s">
        <v>241</v>
      </c>
      <c r="D124" s="371" t="s">
        <v>242</v>
      </c>
      <c r="E124" s="400">
        <v>1985905932.37</v>
      </c>
      <c r="F124" s="400">
        <v>867176693.05</v>
      </c>
      <c r="G124" s="396">
        <f t="shared" si="4"/>
        <v>-1118729239.32</v>
      </c>
      <c r="H124" s="397">
        <f t="shared" si="5"/>
        <v>0.436665543375009</v>
      </c>
      <c r="I124" s="372">
        <v>1360692967.97</v>
      </c>
      <c r="J124" s="395" t="s">
        <v>230</v>
      </c>
      <c r="K124" s="400">
        <v>616464859.3</v>
      </c>
      <c r="L124" s="395" t="s">
        <v>230</v>
      </c>
      <c r="M124" s="397">
        <f t="shared" si="7"/>
        <v>-1.2162844414409635</v>
      </c>
      <c r="N124" s="383">
        <f t="shared" si="8"/>
        <v>-744228108.6700001</v>
      </c>
      <c r="O124" s="397">
        <f t="shared" si="6"/>
        <v>0.4530521387346447</v>
      </c>
      <c r="P124" s="483">
        <f t="shared" si="1"/>
        <v>-250711833.75</v>
      </c>
      <c r="Q124" s="399"/>
    </row>
    <row r="125" spans="1:17" ht="22.5" customHeight="1" hidden="1" outlineLevel="5">
      <c r="A125" s="376" t="s">
        <v>243</v>
      </c>
      <c r="B125" s="377" t="s">
        <v>244</v>
      </c>
      <c r="C125" s="370" t="s">
        <v>245</v>
      </c>
      <c r="D125" s="371" t="s">
        <v>246</v>
      </c>
      <c r="E125" s="372">
        <v>520683169.05</v>
      </c>
      <c r="F125" s="372">
        <v>303670042.49</v>
      </c>
      <c r="G125" s="396">
        <f t="shared" si="4"/>
        <v>-217013126.56</v>
      </c>
      <c r="H125" s="397">
        <f t="shared" si="5"/>
        <v>0.583214631354522</v>
      </c>
      <c r="I125" s="372">
        <v>564952483.03</v>
      </c>
      <c r="J125" s="395" t="s">
        <v>230</v>
      </c>
      <c r="K125" s="372">
        <v>343260577.72</v>
      </c>
      <c r="L125" s="395" t="s">
        <v>230</v>
      </c>
      <c r="M125" s="397">
        <f t="shared" si="7"/>
        <v>-2.603310186740254</v>
      </c>
      <c r="N125" s="383">
        <f t="shared" si="8"/>
        <v>-221691905.30999994</v>
      </c>
      <c r="O125" s="397">
        <f t="shared" si="6"/>
        <v>0.6075919445100877</v>
      </c>
      <c r="P125" s="483">
        <f t="shared" si="1"/>
        <v>39590535.23000002</v>
      </c>
      <c r="Q125" s="399"/>
    </row>
    <row r="126" spans="1:17" ht="22.5" customHeight="1" hidden="1" outlineLevel="5">
      <c r="A126" s="376"/>
      <c r="B126" s="377" t="s">
        <v>247</v>
      </c>
      <c r="C126" s="370" t="s">
        <v>248</v>
      </c>
      <c r="D126" s="371"/>
      <c r="E126" s="372">
        <v>110208359.34</v>
      </c>
      <c r="F126" s="372">
        <v>43228146.6</v>
      </c>
      <c r="G126" s="396">
        <f t="shared" si="4"/>
        <v>-66980212.74</v>
      </c>
      <c r="H126" s="397">
        <f t="shared" si="5"/>
        <v>0.39224017904702074</v>
      </c>
      <c r="I126" s="372">
        <v>119974047.4</v>
      </c>
      <c r="J126" s="395" t="s">
        <v>230</v>
      </c>
      <c r="K126" s="372">
        <v>51419744.97</v>
      </c>
      <c r="L126" s="395" t="s">
        <v>230</v>
      </c>
      <c r="M126" s="397"/>
      <c r="N126" s="383">
        <f t="shared" si="8"/>
        <v>-68554302.43</v>
      </c>
      <c r="O126" s="397"/>
      <c r="P126" s="483">
        <f t="shared" si="1"/>
        <v>8191598.369999997</v>
      </c>
      <c r="Q126" s="399"/>
    </row>
    <row r="127" spans="1:17" ht="54" customHeight="1" hidden="1" outlineLevel="5">
      <c r="A127" s="376"/>
      <c r="B127" s="377" t="s">
        <v>249</v>
      </c>
      <c r="C127" s="370" t="s">
        <v>250</v>
      </c>
      <c r="D127" s="371"/>
      <c r="E127" s="383">
        <v>1669917.56</v>
      </c>
      <c r="F127" s="383">
        <v>605111.56</v>
      </c>
      <c r="G127" s="396"/>
      <c r="H127" s="397"/>
      <c r="I127" s="372">
        <v>936811.59</v>
      </c>
      <c r="J127" s="395" t="s">
        <v>230</v>
      </c>
      <c r="K127" s="383">
        <v>936811.59</v>
      </c>
      <c r="L127" s="395" t="s">
        <v>230</v>
      </c>
      <c r="M127" s="397"/>
      <c r="N127" s="383">
        <f t="shared" si="8"/>
        <v>0</v>
      </c>
      <c r="O127" s="397"/>
      <c r="P127" s="483">
        <f t="shared" si="1"/>
        <v>331700.0299999999</v>
      </c>
      <c r="Q127" s="399"/>
    </row>
    <row r="128" spans="1:17" ht="40.5" customHeight="1" hidden="1" outlineLevel="1">
      <c r="A128" s="376" t="s">
        <v>251</v>
      </c>
      <c r="B128" s="377" t="s">
        <v>252</v>
      </c>
      <c r="C128" s="370" t="s">
        <v>253</v>
      </c>
      <c r="D128" s="371" t="s">
        <v>251</v>
      </c>
      <c r="E128" s="383">
        <v>-4139932.8</v>
      </c>
      <c r="F128" s="383">
        <v>-293334.92</v>
      </c>
      <c r="G128" s="396">
        <f t="shared" si="4"/>
        <v>3846597.88</v>
      </c>
      <c r="H128" s="397">
        <f t="shared" si="5"/>
        <v>0.07085499552070024</v>
      </c>
      <c r="I128" s="372">
        <v>-18240096.34</v>
      </c>
      <c r="J128" s="395" t="s">
        <v>230</v>
      </c>
      <c r="K128" s="383">
        <v>-18240096.34</v>
      </c>
      <c r="L128" s="395" t="s">
        <v>230</v>
      </c>
      <c r="M128" s="374"/>
      <c r="N128" s="383">
        <f>K128-I128</f>
        <v>0</v>
      </c>
      <c r="O128" s="374"/>
      <c r="P128" s="483">
        <f t="shared" si="1"/>
        <v>-17946761.419999998</v>
      </c>
      <c r="Q128" s="399"/>
    </row>
    <row r="129" spans="1:17" ht="23.25" customHeight="1" hidden="1">
      <c r="A129" s="496" t="s">
        <v>254</v>
      </c>
      <c r="B129" s="497"/>
      <c r="C129" s="498"/>
      <c r="D129" s="499"/>
      <c r="E129" s="430">
        <f>E119+E9</f>
        <v>3513539007.31</v>
      </c>
      <c r="F129" s="430">
        <f>F119+F9</f>
        <v>1472247331.3499997</v>
      </c>
      <c r="G129" s="431">
        <f>F129-E129</f>
        <v>-2041291675.9600003</v>
      </c>
      <c r="H129" s="432">
        <f>F129/E129</f>
        <v>0.4190212000740435</v>
      </c>
      <c r="I129" s="433">
        <f>I119+I9</f>
        <v>2536675142.27</v>
      </c>
      <c r="J129" s="395" t="s">
        <v>230</v>
      </c>
      <c r="K129" s="430">
        <f>K119+K9</f>
        <v>1294826805.1599998</v>
      </c>
      <c r="L129" s="395" t="s">
        <v>230</v>
      </c>
      <c r="M129" s="432">
        <f>I129/G129</f>
        <v>-1.2426813728503672</v>
      </c>
      <c r="N129" s="430">
        <f>N119+N9</f>
        <v>-1173294034.68</v>
      </c>
      <c r="O129" s="432">
        <f>K129/I129</f>
        <v>0.5104425015184623</v>
      </c>
      <c r="P129" s="483">
        <f t="shared" si="1"/>
        <v>-177420526.18999982</v>
      </c>
      <c r="Q129" s="434"/>
    </row>
    <row r="130" spans="1:17" ht="24.75" customHeight="1" hidden="1">
      <c r="A130" s="401"/>
      <c r="B130" s="402">
        <v>46</v>
      </c>
      <c r="C130" s="435" t="s">
        <v>255</v>
      </c>
      <c r="D130" s="403"/>
      <c r="E130" s="404">
        <v>39027</v>
      </c>
      <c r="F130" s="404">
        <v>2604.96</v>
      </c>
      <c r="G130" s="405"/>
      <c r="H130" s="432"/>
      <c r="I130" s="406"/>
      <c r="J130" s="406"/>
      <c r="K130" s="404">
        <v>-39027</v>
      </c>
      <c r="L130" s="406"/>
      <c r="M130" s="432"/>
      <c r="N130" s="404"/>
      <c r="O130" s="432"/>
      <c r="P130" s="483">
        <f t="shared" si="1"/>
        <v>-41631.96</v>
      </c>
      <c r="Q130" s="408"/>
    </row>
    <row r="131" spans="1:17" ht="26.25" customHeight="1" hidden="1">
      <c r="A131" s="436"/>
      <c r="B131" s="437"/>
      <c r="C131" s="437"/>
      <c r="D131" s="437"/>
      <c r="E131" s="438">
        <f>E129++E130</f>
        <v>3513578034.31</v>
      </c>
      <c r="F131" s="438">
        <f>F129++F130</f>
        <v>1472249936.3099997</v>
      </c>
      <c r="G131" s="439">
        <f>F131-E131</f>
        <v>-2041328098.0000002</v>
      </c>
      <c r="H131" s="440">
        <f>F131/E131</f>
        <v>0.4190172872022527</v>
      </c>
      <c r="I131" s="441">
        <f>I129++I130</f>
        <v>2536675142.27</v>
      </c>
      <c r="J131" s="442" t="s">
        <v>230</v>
      </c>
      <c r="K131" s="438">
        <f>K129++K130</f>
        <v>1294787778.1599998</v>
      </c>
      <c r="L131" s="438" t="s">
        <v>230</v>
      </c>
      <c r="M131" s="440">
        <f>I131/G131</f>
        <v>-1.2426592005250494</v>
      </c>
      <c r="N131" s="438">
        <f>N129++N130</f>
        <v>-1173294034.68</v>
      </c>
      <c r="O131" s="440">
        <f>K131/I131</f>
        <v>0.5104271164187505</v>
      </c>
      <c r="P131" s="483">
        <f t="shared" si="1"/>
        <v>-177462158.14999986</v>
      </c>
      <c r="Q131" s="443"/>
    </row>
    <row r="132" ht="23.25">
      <c r="E132" s="409"/>
    </row>
    <row r="135" ht="23.25">
      <c r="E135" s="409"/>
    </row>
  </sheetData>
  <sheetProtection/>
  <mergeCells count="7">
    <mergeCell ref="A129:D129"/>
    <mergeCell ref="A1:D1"/>
    <mergeCell ref="A2:D2"/>
    <mergeCell ref="A3:E3"/>
    <mergeCell ref="A4:Q4"/>
    <mergeCell ref="A5:D5"/>
    <mergeCell ref="A6:Q6"/>
  </mergeCells>
  <printOptions horizontalCentered="1"/>
  <pageMargins left="0" right="0" top="0.1968503937007874" bottom="0" header="0.3937007874015748" footer="0.3937007874015748"/>
  <pageSetup blackAndWhite="1" errors="blank" fitToHeight="1" fitToWidth="1" horizontalDpi="600" verticalDpi="600" orientation="landscape" paperSize="9" scale="84" r:id="rId1"/>
  <rowBreaks count="1" manualBreakCount="1">
    <brk id="130" max="16" man="1"/>
  </rowBreaks>
</worksheet>
</file>

<file path=xl/worksheets/sheet10.xml><?xml version="1.0" encoding="utf-8"?>
<worksheet xmlns="http://schemas.openxmlformats.org/spreadsheetml/2006/main" xmlns:r="http://schemas.openxmlformats.org/officeDocument/2006/relationships">
  <sheetPr>
    <tabColor theme="0" tint="-0.04997999966144562"/>
    <pageSetUpPr fitToPage="1"/>
  </sheetPr>
  <dimension ref="A1:Q137"/>
  <sheetViews>
    <sheetView showGridLines="0" showZeros="0" view="pageBreakPreview" zoomScale="85" zoomScaleNormal="75" zoomScaleSheetLayoutView="85" zoomScalePageLayoutView="0" workbookViewId="0" topLeftCell="B1">
      <pane ySplit="9" topLeftCell="A42" activePane="bottomLeft" state="frozen"/>
      <selection pane="topLeft" activeCell="A1" sqref="A1"/>
      <selection pane="bottomLeft" activeCell="Q110" sqref="Q110"/>
    </sheetView>
  </sheetViews>
  <sheetFormatPr defaultColWidth="9.140625" defaultRowHeight="15" outlineLevelRow="5"/>
  <cols>
    <col min="1" max="1" width="9.140625" style="1" hidden="1" customWidth="1"/>
    <col min="2" max="2" width="5.28125" style="1" customWidth="1"/>
    <col min="3" max="3" width="27.421875" style="2" customWidth="1"/>
    <col min="4" max="4" width="18.00390625" style="1" hidden="1" customWidth="1"/>
    <col min="5" max="6" width="21.421875" style="1" bestFit="1" customWidth="1"/>
    <col min="7" max="7" width="20.57421875" style="1" customWidth="1"/>
    <col min="8" max="8" width="10.28125" style="1" customWidth="1"/>
    <col min="9" max="9" width="20.28125" style="1" customWidth="1"/>
    <col min="10" max="10" width="17.57421875" style="1" hidden="1" customWidth="1"/>
    <col min="11" max="11" width="21.421875" style="1" bestFit="1" customWidth="1"/>
    <col min="12" max="12" width="19.140625" style="1" hidden="1" customWidth="1"/>
    <col min="13" max="13" width="14.28125" style="1" hidden="1" customWidth="1"/>
    <col min="14" max="14" width="21.140625" style="1" customWidth="1"/>
    <col min="15" max="15" width="13.8515625" style="1" customWidth="1"/>
    <col min="16" max="16" width="19.28125" style="1" customWidth="1"/>
    <col min="17" max="17" width="50.28125" style="2" bestFit="1" customWidth="1"/>
    <col min="18" max="16384" width="9.140625" style="1" customWidth="1"/>
  </cols>
  <sheetData>
    <row r="1" spans="1:4" ht="13.5" customHeight="1">
      <c r="A1" s="535" t="s">
        <v>0</v>
      </c>
      <c r="B1" s="535"/>
      <c r="C1" s="536"/>
      <c r="D1" s="536"/>
    </row>
    <row r="2" spans="1:4" ht="15" customHeight="1" hidden="1">
      <c r="A2" s="535"/>
      <c r="B2" s="535"/>
      <c r="C2" s="536"/>
      <c r="D2" s="536"/>
    </row>
    <row r="3" spans="1:5" ht="18" customHeight="1">
      <c r="A3" s="537"/>
      <c r="B3" s="537"/>
      <c r="C3" s="537"/>
      <c r="D3" s="537"/>
      <c r="E3" s="537"/>
    </row>
    <row r="4" spans="1:17" ht="15" customHeight="1">
      <c r="A4" s="538" t="s">
        <v>288</v>
      </c>
      <c r="B4" s="538"/>
      <c r="C4" s="538"/>
      <c r="D4" s="538"/>
      <c r="E4" s="538"/>
      <c r="F4" s="538"/>
      <c r="G4" s="538"/>
      <c r="H4" s="538"/>
      <c r="I4" s="538"/>
      <c r="J4" s="538"/>
      <c r="K4" s="538"/>
      <c r="L4" s="538"/>
      <c r="M4" s="538"/>
      <c r="N4" s="538"/>
      <c r="O4" s="538"/>
      <c r="P4" s="538"/>
      <c r="Q4" s="538"/>
    </row>
    <row r="5" spans="1:4" ht="0.75" customHeight="1">
      <c r="A5" s="539"/>
      <c r="B5" s="539"/>
      <c r="C5" s="540"/>
      <c r="D5" s="540"/>
    </row>
    <row r="6" spans="1:17" ht="12.75" customHeight="1" thickBot="1">
      <c r="A6" s="541" t="s">
        <v>1</v>
      </c>
      <c r="B6" s="541"/>
      <c r="C6" s="541"/>
      <c r="D6" s="541"/>
      <c r="E6" s="541"/>
      <c r="F6" s="541"/>
      <c r="G6" s="541"/>
      <c r="H6" s="541"/>
      <c r="I6" s="541"/>
      <c r="J6" s="541"/>
      <c r="K6" s="541"/>
      <c r="L6" s="541"/>
      <c r="M6" s="541"/>
      <c r="N6" s="541"/>
      <c r="O6" s="541"/>
      <c r="P6" s="541"/>
      <c r="Q6" s="541"/>
    </row>
    <row r="7" spans="1:17" s="4" customFormat="1" ht="24" customHeight="1">
      <c r="A7" s="3"/>
      <c r="B7" s="524"/>
      <c r="C7" s="525" t="s">
        <v>2</v>
      </c>
      <c r="D7" s="527" t="s">
        <v>3</v>
      </c>
      <c r="E7" s="530">
        <v>2022</v>
      </c>
      <c r="F7" s="530"/>
      <c r="G7" s="530"/>
      <c r="H7" s="531"/>
      <c r="I7" s="532">
        <v>2023</v>
      </c>
      <c r="J7" s="530"/>
      <c r="K7" s="530"/>
      <c r="L7" s="530"/>
      <c r="M7" s="530"/>
      <c r="N7" s="530"/>
      <c r="O7" s="531"/>
      <c r="P7" s="533" t="s">
        <v>262</v>
      </c>
      <c r="Q7" s="510" t="s">
        <v>4</v>
      </c>
    </row>
    <row r="8" spans="1:17" s="4" customFormat="1" ht="24" customHeight="1">
      <c r="A8" s="512" t="s">
        <v>5</v>
      </c>
      <c r="B8" s="524"/>
      <c r="C8" s="526"/>
      <c r="D8" s="528"/>
      <c r="E8" s="514" t="s">
        <v>261</v>
      </c>
      <c r="F8" s="516" t="s">
        <v>289</v>
      </c>
      <c r="G8" s="514" t="s">
        <v>6</v>
      </c>
      <c r="H8" s="519" t="s">
        <v>7</v>
      </c>
      <c r="I8" s="516" t="s">
        <v>8</v>
      </c>
      <c r="J8" s="516" t="s">
        <v>9</v>
      </c>
      <c r="K8" s="516" t="s">
        <v>289</v>
      </c>
      <c r="L8" s="523" t="s">
        <v>10</v>
      </c>
      <c r="M8" s="516" t="s">
        <v>11</v>
      </c>
      <c r="N8" s="523" t="s">
        <v>12</v>
      </c>
      <c r="O8" s="516" t="s">
        <v>13</v>
      </c>
      <c r="P8" s="534"/>
      <c r="Q8" s="511"/>
    </row>
    <row r="9" spans="1:17" s="4" customFormat="1" ht="57.75" customHeight="1">
      <c r="A9" s="513"/>
      <c r="B9" s="524"/>
      <c r="C9" s="526"/>
      <c r="D9" s="529"/>
      <c r="E9" s="515"/>
      <c r="F9" s="517"/>
      <c r="G9" s="518"/>
      <c r="H9" s="520"/>
      <c r="I9" s="517"/>
      <c r="J9" s="517"/>
      <c r="K9" s="517"/>
      <c r="L9" s="518"/>
      <c r="M9" s="517"/>
      <c r="N9" s="518"/>
      <c r="O9" s="517"/>
      <c r="P9" s="534"/>
      <c r="Q9" s="511"/>
    </row>
    <row r="10" spans="1:17" s="4" customFormat="1" ht="21" customHeight="1">
      <c r="A10" s="341"/>
      <c r="B10" s="6"/>
      <c r="C10" s="7">
        <v>1</v>
      </c>
      <c r="D10" s="342">
        <v>2</v>
      </c>
      <c r="E10" s="342">
        <v>9</v>
      </c>
      <c r="F10" s="342">
        <v>9</v>
      </c>
      <c r="G10" s="342">
        <v>5</v>
      </c>
      <c r="H10" s="342">
        <v>6</v>
      </c>
      <c r="I10" s="342">
        <v>7</v>
      </c>
      <c r="J10" s="342">
        <v>8</v>
      </c>
      <c r="K10" s="342">
        <v>9</v>
      </c>
      <c r="L10" s="342">
        <v>10</v>
      </c>
      <c r="M10" s="342">
        <v>11</v>
      </c>
      <c r="N10" s="342">
        <v>12</v>
      </c>
      <c r="O10" s="342">
        <v>13</v>
      </c>
      <c r="P10" s="342">
        <v>14</v>
      </c>
      <c r="Q10" s="342">
        <v>15</v>
      </c>
    </row>
    <row r="11" spans="1:17" s="16" customFormat="1" ht="33" customHeight="1" thickBot="1">
      <c r="A11" s="9" t="s">
        <v>14</v>
      </c>
      <c r="B11" s="10" t="s">
        <v>15</v>
      </c>
      <c r="C11" s="11" t="s">
        <v>16</v>
      </c>
      <c r="D11" s="12" t="s">
        <v>14</v>
      </c>
      <c r="E11" s="13">
        <f>E12+E80</f>
        <v>426113235.23999995</v>
      </c>
      <c r="F11" s="13">
        <f>F12+F80</f>
        <v>148069501.59</v>
      </c>
      <c r="G11" s="13">
        <f>F11-E11</f>
        <v>-278043733.65</v>
      </c>
      <c r="H11" s="14">
        <f>F11/E11</f>
        <v>0.34748862355003535</v>
      </c>
      <c r="I11" s="13">
        <f>I12+I80</f>
        <v>409940830.19</v>
      </c>
      <c r="J11" s="13">
        <f>J12+J80</f>
        <v>16636685.38</v>
      </c>
      <c r="K11" s="13">
        <f>K12+K80</f>
        <v>175826927.05</v>
      </c>
      <c r="L11" s="13">
        <f>K11-J11</f>
        <v>159190241.67000002</v>
      </c>
      <c r="M11" s="14">
        <f>K11/J11</f>
        <v>10.56862728565947</v>
      </c>
      <c r="N11" s="13">
        <f>K11-I11</f>
        <v>-234113903.14</v>
      </c>
      <c r="O11" s="14">
        <f>K11/I11</f>
        <v>0.42890806209400384</v>
      </c>
      <c r="P11" s="13">
        <f>K11-F11</f>
        <v>27757425.46000001</v>
      </c>
      <c r="Q11" s="15"/>
    </row>
    <row r="12" spans="1:17" s="16" customFormat="1" ht="33" customHeight="1">
      <c r="A12" s="9"/>
      <c r="B12" s="17" t="s">
        <v>17</v>
      </c>
      <c r="C12" s="18" t="s">
        <v>18</v>
      </c>
      <c r="D12" s="19"/>
      <c r="E12" s="20">
        <f>E13+E39+E40+E62+E66+E76</f>
        <v>352618682.34999996</v>
      </c>
      <c r="F12" s="20">
        <f>F13+F39+F40+F62+F66+F76</f>
        <v>121702479.27</v>
      </c>
      <c r="G12" s="20">
        <f>F12-E12</f>
        <v>-230916203.07999998</v>
      </c>
      <c r="H12" s="21">
        <f>F12/E12</f>
        <v>0.3451390563282785</v>
      </c>
      <c r="I12" s="20">
        <f>I13+I39+I40+I62+I66+I76</f>
        <v>320644567.63</v>
      </c>
      <c r="J12" s="20">
        <f>J13+J39+J40+J62+J66+J76</f>
        <v>14406368.9</v>
      </c>
      <c r="K12" s="20">
        <f>K13+K39+K40+K62+K66+K76</f>
        <v>107327836.86000001</v>
      </c>
      <c r="L12" s="22">
        <f>K12-J12</f>
        <v>92921467.96000001</v>
      </c>
      <c r="M12" s="21">
        <f>I12/G12</f>
        <v>-1.3885754371204257</v>
      </c>
      <c r="N12" s="22">
        <f>K12-I12</f>
        <v>-213316730.76999998</v>
      </c>
      <c r="O12" s="21">
        <f>K12/I12</f>
        <v>0.33472526184771784</v>
      </c>
      <c r="P12" s="20">
        <f>K12-F12</f>
        <v>-14374642.409999982</v>
      </c>
      <c r="Q12" s="23"/>
    </row>
    <row r="13" spans="1:17" s="32" customFormat="1" ht="52.5" customHeight="1" outlineLevel="2">
      <c r="A13" s="24" t="s">
        <v>19</v>
      </c>
      <c r="B13" s="25" t="s">
        <v>20</v>
      </c>
      <c r="C13" s="26" t="s">
        <v>21</v>
      </c>
      <c r="D13" s="27" t="s">
        <v>19</v>
      </c>
      <c r="E13" s="141">
        <v>190630093.23</v>
      </c>
      <c r="F13" s="343">
        <v>61436635.76</v>
      </c>
      <c r="G13" s="145">
        <f>F13-E13</f>
        <v>-129193457.47</v>
      </c>
      <c r="H13" s="29">
        <f>F13/E13</f>
        <v>0.3222819373322928</v>
      </c>
      <c r="I13" s="28">
        <v>179717500</v>
      </c>
      <c r="J13" s="30">
        <v>8290000</v>
      </c>
      <c r="K13" s="141">
        <f>58787307.28+1525601.33</f>
        <v>60312908.61</v>
      </c>
      <c r="L13" s="28">
        <f>K13-J13</f>
        <v>52022908.61</v>
      </c>
      <c r="M13" s="29">
        <f>K13/J13</f>
        <v>7.275381014475271</v>
      </c>
      <c r="N13" s="28">
        <f>K13-I13</f>
        <v>-119404591.39</v>
      </c>
      <c r="O13" s="29">
        <f aca="true" t="shared" si="0" ref="O13:O78">K13/I13</f>
        <v>0.33559841757202274</v>
      </c>
      <c r="P13" s="28">
        <f>K13-F13</f>
        <v>-1123727.1499999985</v>
      </c>
      <c r="Q13" s="31" t="s">
        <v>266</v>
      </c>
    </row>
    <row r="14" spans="1:17" s="32" customFormat="1" ht="6.75" customHeight="1" outlineLevel="2">
      <c r="A14" s="24"/>
      <c r="B14" s="33"/>
      <c r="C14" s="34"/>
      <c r="D14" s="35"/>
      <c r="E14" s="42"/>
      <c r="F14" s="39"/>
      <c r="G14" s="146"/>
      <c r="H14" s="38"/>
      <c r="I14" s="36"/>
      <c r="J14" s="142"/>
      <c r="K14" s="142"/>
      <c r="L14" s="36"/>
      <c r="M14" s="38"/>
      <c r="N14" s="36"/>
      <c r="O14" s="38"/>
      <c r="P14" s="36"/>
      <c r="Q14" s="40"/>
    </row>
    <row r="15" spans="1:17" s="32" customFormat="1" ht="15.75" customHeight="1" hidden="1" outlineLevel="3">
      <c r="A15" s="24" t="s">
        <v>22</v>
      </c>
      <c r="B15" s="33"/>
      <c r="C15" s="41" t="s">
        <v>23</v>
      </c>
      <c r="D15" s="143" t="s">
        <v>22</v>
      </c>
      <c r="E15" s="51"/>
      <c r="F15" s="42"/>
      <c r="G15" s="43">
        <f aca="true" t="shared" si="1" ref="G15:G40">F15-E15</f>
        <v>0</v>
      </c>
      <c r="H15" s="44" t="e">
        <f aca="true" t="shared" si="2" ref="H15:H40">F15/E15</f>
        <v>#DIV/0!</v>
      </c>
      <c r="I15" s="42">
        <v>148555700</v>
      </c>
      <c r="J15" s="42"/>
      <c r="K15" s="42"/>
      <c r="L15" s="42"/>
      <c r="M15" s="45" t="e">
        <f aca="true" t="shared" si="3" ref="M15:M75">I15/G15</f>
        <v>#DIV/0!</v>
      </c>
      <c r="N15" s="42"/>
      <c r="O15" s="45">
        <f t="shared" si="0"/>
        <v>0</v>
      </c>
      <c r="P15" s="46">
        <f aca="true" t="shared" si="4" ref="P15:P40">K15-F15</f>
        <v>0</v>
      </c>
      <c r="Q15" s="47"/>
    </row>
    <row r="16" spans="1:17" s="32" customFormat="1" ht="210" customHeight="1" hidden="1" outlineLevel="4">
      <c r="A16" s="24" t="s">
        <v>24</v>
      </c>
      <c r="B16" s="48"/>
      <c r="C16" s="49" t="s">
        <v>25</v>
      </c>
      <c r="D16" s="144" t="s">
        <v>24</v>
      </c>
      <c r="E16" s="51"/>
      <c r="F16" s="51"/>
      <c r="G16" s="52">
        <f t="shared" si="1"/>
        <v>0</v>
      </c>
      <c r="H16" s="53" t="e">
        <f t="shared" si="2"/>
        <v>#DIV/0!</v>
      </c>
      <c r="I16" s="51">
        <v>148555700</v>
      </c>
      <c r="J16" s="51"/>
      <c r="K16" s="51"/>
      <c r="L16" s="51"/>
      <c r="M16" s="54" t="e">
        <f t="shared" si="3"/>
        <v>#DIV/0!</v>
      </c>
      <c r="N16" s="51"/>
      <c r="O16" s="54">
        <f t="shared" si="0"/>
        <v>0</v>
      </c>
      <c r="P16" s="55">
        <f t="shared" si="4"/>
        <v>0</v>
      </c>
      <c r="Q16" s="56"/>
    </row>
    <row r="17" spans="1:17" s="32" customFormat="1" ht="210" customHeight="1" hidden="1" outlineLevel="5">
      <c r="A17" s="24" t="s">
        <v>24</v>
      </c>
      <c r="B17" s="48"/>
      <c r="C17" s="49" t="s">
        <v>26</v>
      </c>
      <c r="D17" s="144" t="s">
        <v>24</v>
      </c>
      <c r="E17" s="51"/>
      <c r="F17" s="51"/>
      <c r="G17" s="52">
        <f t="shared" si="1"/>
        <v>0</v>
      </c>
      <c r="H17" s="53" t="e">
        <f t="shared" si="2"/>
        <v>#DIV/0!</v>
      </c>
      <c r="I17" s="51">
        <v>148555700</v>
      </c>
      <c r="J17" s="51"/>
      <c r="K17" s="51"/>
      <c r="L17" s="51"/>
      <c r="M17" s="54" t="e">
        <f t="shared" si="3"/>
        <v>#DIV/0!</v>
      </c>
      <c r="N17" s="51"/>
      <c r="O17" s="54">
        <f t="shared" si="0"/>
        <v>0</v>
      </c>
      <c r="P17" s="55">
        <f t="shared" si="4"/>
        <v>0</v>
      </c>
      <c r="Q17" s="56"/>
    </row>
    <row r="18" spans="1:17" s="32" customFormat="1" ht="210" customHeight="1" hidden="1" outlineLevel="5">
      <c r="A18" s="24" t="s">
        <v>27</v>
      </c>
      <c r="B18" s="48"/>
      <c r="C18" s="49" t="s">
        <v>28</v>
      </c>
      <c r="D18" s="144" t="s">
        <v>27</v>
      </c>
      <c r="E18" s="51"/>
      <c r="F18" s="51"/>
      <c r="G18" s="52">
        <f t="shared" si="1"/>
        <v>0</v>
      </c>
      <c r="H18" s="53" t="e">
        <f t="shared" si="2"/>
        <v>#DIV/0!</v>
      </c>
      <c r="I18" s="51">
        <v>0</v>
      </c>
      <c r="J18" s="51"/>
      <c r="K18" s="51"/>
      <c r="L18" s="51"/>
      <c r="M18" s="54" t="e">
        <f t="shared" si="3"/>
        <v>#DIV/0!</v>
      </c>
      <c r="N18" s="51"/>
      <c r="O18" s="54" t="e">
        <f t="shared" si="0"/>
        <v>#DIV/0!</v>
      </c>
      <c r="P18" s="55">
        <f t="shared" si="4"/>
        <v>0</v>
      </c>
      <c r="Q18" s="56"/>
    </row>
    <row r="19" spans="1:17" s="32" customFormat="1" ht="210" customHeight="1" hidden="1" outlineLevel="5">
      <c r="A19" s="24" t="s">
        <v>29</v>
      </c>
      <c r="B19" s="48"/>
      <c r="C19" s="49" t="s">
        <v>26</v>
      </c>
      <c r="D19" s="144" t="s">
        <v>29</v>
      </c>
      <c r="E19" s="51"/>
      <c r="F19" s="51"/>
      <c r="G19" s="52">
        <f t="shared" si="1"/>
        <v>0</v>
      </c>
      <c r="H19" s="53" t="e">
        <f t="shared" si="2"/>
        <v>#DIV/0!</v>
      </c>
      <c r="I19" s="51">
        <v>0</v>
      </c>
      <c r="J19" s="51"/>
      <c r="K19" s="51"/>
      <c r="L19" s="51"/>
      <c r="M19" s="54" t="e">
        <f t="shared" si="3"/>
        <v>#DIV/0!</v>
      </c>
      <c r="N19" s="51"/>
      <c r="O19" s="54" t="e">
        <f t="shared" si="0"/>
        <v>#DIV/0!</v>
      </c>
      <c r="P19" s="55">
        <f t="shared" si="4"/>
        <v>0</v>
      </c>
      <c r="Q19" s="56"/>
    </row>
    <row r="20" spans="1:17" s="32" customFormat="1" ht="210" customHeight="1" hidden="1" outlineLevel="5">
      <c r="A20" s="24" t="s">
        <v>30</v>
      </c>
      <c r="B20" s="48"/>
      <c r="C20" s="49" t="s">
        <v>26</v>
      </c>
      <c r="D20" s="144" t="s">
        <v>30</v>
      </c>
      <c r="E20" s="51"/>
      <c r="F20" s="51"/>
      <c r="G20" s="52">
        <f t="shared" si="1"/>
        <v>0</v>
      </c>
      <c r="H20" s="53" t="e">
        <f t="shared" si="2"/>
        <v>#DIV/0!</v>
      </c>
      <c r="I20" s="51">
        <v>0</v>
      </c>
      <c r="J20" s="51"/>
      <c r="K20" s="51"/>
      <c r="L20" s="51"/>
      <c r="M20" s="54" t="e">
        <f t="shared" si="3"/>
        <v>#DIV/0!</v>
      </c>
      <c r="N20" s="51"/>
      <c r="O20" s="54" t="e">
        <f t="shared" si="0"/>
        <v>#DIV/0!</v>
      </c>
      <c r="P20" s="55">
        <f t="shared" si="4"/>
        <v>0</v>
      </c>
      <c r="Q20" s="56"/>
    </row>
    <row r="21" spans="1:17" s="32" customFormat="1" ht="210" customHeight="1" hidden="1" outlineLevel="5">
      <c r="A21" s="24" t="s">
        <v>31</v>
      </c>
      <c r="B21" s="48"/>
      <c r="C21" s="49" t="s">
        <v>28</v>
      </c>
      <c r="D21" s="144" t="s">
        <v>31</v>
      </c>
      <c r="E21" s="51"/>
      <c r="F21" s="51"/>
      <c r="G21" s="52">
        <f t="shared" si="1"/>
        <v>0</v>
      </c>
      <c r="H21" s="53" t="e">
        <f t="shared" si="2"/>
        <v>#DIV/0!</v>
      </c>
      <c r="I21" s="51">
        <v>0</v>
      </c>
      <c r="J21" s="51"/>
      <c r="K21" s="51"/>
      <c r="L21" s="51"/>
      <c r="M21" s="54" t="e">
        <f t="shared" si="3"/>
        <v>#DIV/0!</v>
      </c>
      <c r="N21" s="51"/>
      <c r="O21" s="54" t="e">
        <f t="shared" si="0"/>
        <v>#DIV/0!</v>
      </c>
      <c r="P21" s="55">
        <f t="shared" si="4"/>
        <v>0</v>
      </c>
      <c r="Q21" s="56"/>
    </row>
    <row r="22" spans="1:17" s="32" customFormat="1" ht="15.75" customHeight="1" hidden="1" outlineLevel="3">
      <c r="A22" s="24" t="s">
        <v>32</v>
      </c>
      <c r="B22" s="48"/>
      <c r="C22" s="49" t="s">
        <v>23</v>
      </c>
      <c r="D22" s="144" t="s">
        <v>32</v>
      </c>
      <c r="E22" s="51"/>
      <c r="F22" s="51"/>
      <c r="G22" s="52">
        <f t="shared" si="1"/>
        <v>0</v>
      </c>
      <c r="H22" s="53" t="e">
        <f t="shared" si="2"/>
        <v>#DIV/0!</v>
      </c>
      <c r="I22" s="51">
        <v>750300</v>
      </c>
      <c r="J22" s="51"/>
      <c r="K22" s="51"/>
      <c r="L22" s="51"/>
      <c r="M22" s="54" t="e">
        <f t="shared" si="3"/>
        <v>#DIV/0!</v>
      </c>
      <c r="N22" s="51"/>
      <c r="O22" s="54">
        <f t="shared" si="0"/>
        <v>0</v>
      </c>
      <c r="P22" s="55">
        <f t="shared" si="4"/>
        <v>0</v>
      </c>
      <c r="Q22" s="56"/>
    </row>
    <row r="23" spans="1:17" s="32" customFormat="1" ht="330" customHeight="1" hidden="1" outlineLevel="4">
      <c r="A23" s="24" t="s">
        <v>33</v>
      </c>
      <c r="B23" s="48"/>
      <c r="C23" s="49" t="s">
        <v>34</v>
      </c>
      <c r="D23" s="144" t="s">
        <v>33</v>
      </c>
      <c r="E23" s="51"/>
      <c r="F23" s="51"/>
      <c r="G23" s="52">
        <f t="shared" si="1"/>
        <v>0</v>
      </c>
      <c r="H23" s="53" t="e">
        <f t="shared" si="2"/>
        <v>#DIV/0!</v>
      </c>
      <c r="I23" s="51">
        <v>750300</v>
      </c>
      <c r="J23" s="51"/>
      <c r="K23" s="51"/>
      <c r="L23" s="51"/>
      <c r="M23" s="54" t="e">
        <f t="shared" si="3"/>
        <v>#DIV/0!</v>
      </c>
      <c r="N23" s="51"/>
      <c r="O23" s="54">
        <f t="shared" si="0"/>
        <v>0</v>
      </c>
      <c r="P23" s="55">
        <f t="shared" si="4"/>
        <v>0</v>
      </c>
      <c r="Q23" s="56"/>
    </row>
    <row r="24" spans="1:17" s="32" customFormat="1" ht="330" customHeight="1" hidden="1" outlineLevel="5">
      <c r="A24" s="24" t="s">
        <v>33</v>
      </c>
      <c r="B24" s="48"/>
      <c r="C24" s="49" t="s">
        <v>35</v>
      </c>
      <c r="D24" s="144" t="s">
        <v>33</v>
      </c>
      <c r="E24" s="51"/>
      <c r="F24" s="51"/>
      <c r="G24" s="52">
        <f t="shared" si="1"/>
        <v>0</v>
      </c>
      <c r="H24" s="53" t="e">
        <f t="shared" si="2"/>
        <v>#DIV/0!</v>
      </c>
      <c r="I24" s="51">
        <v>750300</v>
      </c>
      <c r="J24" s="51"/>
      <c r="K24" s="51"/>
      <c r="L24" s="51"/>
      <c r="M24" s="54" t="e">
        <f t="shared" si="3"/>
        <v>#DIV/0!</v>
      </c>
      <c r="N24" s="51"/>
      <c r="O24" s="54">
        <f t="shared" si="0"/>
        <v>0</v>
      </c>
      <c r="P24" s="55">
        <f t="shared" si="4"/>
        <v>0</v>
      </c>
      <c r="Q24" s="56"/>
    </row>
    <row r="25" spans="1:17" s="32" customFormat="1" ht="330" customHeight="1" hidden="1" outlineLevel="5">
      <c r="A25" s="24" t="s">
        <v>36</v>
      </c>
      <c r="B25" s="48"/>
      <c r="C25" s="49" t="s">
        <v>35</v>
      </c>
      <c r="D25" s="144" t="s">
        <v>36</v>
      </c>
      <c r="E25" s="51"/>
      <c r="F25" s="51"/>
      <c r="G25" s="52">
        <f t="shared" si="1"/>
        <v>0</v>
      </c>
      <c r="H25" s="53" t="e">
        <f t="shared" si="2"/>
        <v>#DIV/0!</v>
      </c>
      <c r="I25" s="51">
        <v>0</v>
      </c>
      <c r="J25" s="51"/>
      <c r="K25" s="51"/>
      <c r="L25" s="51"/>
      <c r="M25" s="54" t="e">
        <f t="shared" si="3"/>
        <v>#DIV/0!</v>
      </c>
      <c r="N25" s="51"/>
      <c r="O25" s="54" t="e">
        <f t="shared" si="0"/>
        <v>#DIV/0!</v>
      </c>
      <c r="P25" s="55">
        <f t="shared" si="4"/>
        <v>0</v>
      </c>
      <c r="Q25" s="56"/>
    </row>
    <row r="26" spans="1:17" s="32" customFormat="1" ht="15.75" customHeight="1" hidden="1" outlineLevel="5">
      <c r="A26" s="24" t="s">
        <v>37</v>
      </c>
      <c r="B26" s="48"/>
      <c r="C26" s="49">
        <v>1.82101020200121E+19</v>
      </c>
      <c r="D26" s="144" t="s">
        <v>37</v>
      </c>
      <c r="E26" s="51"/>
      <c r="F26" s="51"/>
      <c r="G26" s="52">
        <f t="shared" si="1"/>
        <v>0</v>
      </c>
      <c r="H26" s="53" t="e">
        <f t="shared" si="2"/>
        <v>#DIV/0!</v>
      </c>
      <c r="I26" s="51">
        <v>0</v>
      </c>
      <c r="J26" s="51"/>
      <c r="K26" s="51"/>
      <c r="L26" s="51"/>
      <c r="M26" s="54" t="e">
        <f t="shared" si="3"/>
        <v>#DIV/0!</v>
      </c>
      <c r="N26" s="51"/>
      <c r="O26" s="54" t="e">
        <f t="shared" si="0"/>
        <v>#DIV/0!</v>
      </c>
      <c r="P26" s="55">
        <f t="shared" si="4"/>
        <v>0</v>
      </c>
      <c r="Q26" s="56"/>
    </row>
    <row r="27" spans="1:17" s="32" customFormat="1" ht="330" customHeight="1" hidden="1" outlineLevel="5">
      <c r="A27" s="24" t="s">
        <v>38</v>
      </c>
      <c r="B27" s="48"/>
      <c r="C27" s="49" t="s">
        <v>35</v>
      </c>
      <c r="D27" s="144" t="s">
        <v>38</v>
      </c>
      <c r="E27" s="51"/>
      <c r="F27" s="51"/>
      <c r="G27" s="52">
        <f t="shared" si="1"/>
        <v>0</v>
      </c>
      <c r="H27" s="53" t="e">
        <f t="shared" si="2"/>
        <v>#DIV/0!</v>
      </c>
      <c r="I27" s="51">
        <v>0</v>
      </c>
      <c r="J27" s="51"/>
      <c r="K27" s="51"/>
      <c r="L27" s="51"/>
      <c r="M27" s="54" t="e">
        <f t="shared" si="3"/>
        <v>#DIV/0!</v>
      </c>
      <c r="N27" s="51"/>
      <c r="O27" s="54" t="e">
        <f t="shared" si="0"/>
        <v>#DIV/0!</v>
      </c>
      <c r="P27" s="55">
        <f t="shared" si="4"/>
        <v>0</v>
      </c>
      <c r="Q27" s="56"/>
    </row>
    <row r="28" spans="1:17" s="32" customFormat="1" ht="15.75" customHeight="1" hidden="1" outlineLevel="3">
      <c r="A28" s="24" t="s">
        <v>39</v>
      </c>
      <c r="B28" s="48"/>
      <c r="C28" s="49" t="s">
        <v>23</v>
      </c>
      <c r="D28" s="144" t="s">
        <v>39</v>
      </c>
      <c r="E28" s="51"/>
      <c r="F28" s="51"/>
      <c r="G28" s="52">
        <f t="shared" si="1"/>
        <v>0</v>
      </c>
      <c r="H28" s="53" t="e">
        <f t="shared" si="2"/>
        <v>#DIV/0!</v>
      </c>
      <c r="I28" s="51">
        <v>450200</v>
      </c>
      <c r="J28" s="51"/>
      <c r="K28" s="51"/>
      <c r="L28" s="51"/>
      <c r="M28" s="54" t="e">
        <f t="shared" si="3"/>
        <v>#DIV/0!</v>
      </c>
      <c r="N28" s="51"/>
      <c r="O28" s="54">
        <f t="shared" si="0"/>
        <v>0</v>
      </c>
      <c r="P28" s="55">
        <f t="shared" si="4"/>
        <v>0</v>
      </c>
      <c r="Q28" s="56"/>
    </row>
    <row r="29" spans="1:17" s="32" customFormat="1" ht="120" customHeight="1" hidden="1" outlineLevel="4">
      <c r="A29" s="24" t="s">
        <v>40</v>
      </c>
      <c r="B29" s="48"/>
      <c r="C29" s="49" t="s">
        <v>41</v>
      </c>
      <c r="D29" s="144" t="s">
        <v>40</v>
      </c>
      <c r="E29" s="51"/>
      <c r="F29" s="51"/>
      <c r="G29" s="52">
        <f t="shared" si="1"/>
        <v>0</v>
      </c>
      <c r="H29" s="53" t="e">
        <f t="shared" si="2"/>
        <v>#DIV/0!</v>
      </c>
      <c r="I29" s="51">
        <v>450200</v>
      </c>
      <c r="J29" s="51"/>
      <c r="K29" s="51"/>
      <c r="L29" s="51"/>
      <c r="M29" s="54" t="e">
        <f t="shared" si="3"/>
        <v>#DIV/0!</v>
      </c>
      <c r="N29" s="51"/>
      <c r="O29" s="54">
        <f t="shared" si="0"/>
        <v>0</v>
      </c>
      <c r="P29" s="55">
        <f t="shared" si="4"/>
        <v>0</v>
      </c>
      <c r="Q29" s="56"/>
    </row>
    <row r="30" spans="1:17" s="32" customFormat="1" ht="120" customHeight="1" hidden="1" outlineLevel="5">
      <c r="A30" s="24" t="s">
        <v>40</v>
      </c>
      <c r="B30" s="48"/>
      <c r="C30" s="49" t="s">
        <v>42</v>
      </c>
      <c r="D30" s="144" t="s">
        <v>40</v>
      </c>
      <c r="E30" s="51"/>
      <c r="F30" s="51"/>
      <c r="G30" s="52">
        <f t="shared" si="1"/>
        <v>0</v>
      </c>
      <c r="H30" s="53" t="e">
        <f t="shared" si="2"/>
        <v>#DIV/0!</v>
      </c>
      <c r="I30" s="51">
        <v>450200</v>
      </c>
      <c r="J30" s="51"/>
      <c r="K30" s="51"/>
      <c r="L30" s="51"/>
      <c r="M30" s="54" t="e">
        <f t="shared" si="3"/>
        <v>#DIV/0!</v>
      </c>
      <c r="N30" s="51"/>
      <c r="O30" s="54">
        <f t="shared" si="0"/>
        <v>0</v>
      </c>
      <c r="P30" s="55">
        <f t="shared" si="4"/>
        <v>0</v>
      </c>
      <c r="Q30" s="56"/>
    </row>
    <row r="31" spans="1:17" s="32" customFormat="1" ht="120" customHeight="1" hidden="1" outlineLevel="5">
      <c r="A31" s="24" t="s">
        <v>43</v>
      </c>
      <c r="B31" s="48"/>
      <c r="C31" s="49" t="s">
        <v>44</v>
      </c>
      <c r="D31" s="144" t="s">
        <v>43</v>
      </c>
      <c r="E31" s="51"/>
      <c r="F31" s="51"/>
      <c r="G31" s="52">
        <f t="shared" si="1"/>
        <v>0</v>
      </c>
      <c r="H31" s="53" t="e">
        <f t="shared" si="2"/>
        <v>#DIV/0!</v>
      </c>
      <c r="I31" s="51">
        <v>0</v>
      </c>
      <c r="J31" s="51"/>
      <c r="K31" s="51"/>
      <c r="L31" s="51"/>
      <c r="M31" s="54" t="e">
        <f t="shared" si="3"/>
        <v>#DIV/0!</v>
      </c>
      <c r="N31" s="51"/>
      <c r="O31" s="54" t="e">
        <f t="shared" si="0"/>
        <v>#DIV/0!</v>
      </c>
      <c r="P31" s="55">
        <f t="shared" si="4"/>
        <v>0</v>
      </c>
      <c r="Q31" s="56"/>
    </row>
    <row r="32" spans="1:17" s="32" customFormat="1" ht="15.75" customHeight="1" hidden="1" outlineLevel="5">
      <c r="A32" s="24" t="s">
        <v>45</v>
      </c>
      <c r="B32" s="48"/>
      <c r="C32" s="49">
        <v>1.82101020300121E+19</v>
      </c>
      <c r="D32" s="144" t="s">
        <v>45</v>
      </c>
      <c r="E32" s="51"/>
      <c r="F32" s="51"/>
      <c r="G32" s="52">
        <f t="shared" si="1"/>
        <v>0</v>
      </c>
      <c r="H32" s="53" t="e">
        <f t="shared" si="2"/>
        <v>#DIV/0!</v>
      </c>
      <c r="I32" s="51">
        <v>0</v>
      </c>
      <c r="J32" s="51"/>
      <c r="K32" s="51"/>
      <c r="L32" s="51"/>
      <c r="M32" s="54" t="e">
        <f t="shared" si="3"/>
        <v>#DIV/0!</v>
      </c>
      <c r="N32" s="51"/>
      <c r="O32" s="54" t="e">
        <f t="shared" si="0"/>
        <v>#DIV/0!</v>
      </c>
      <c r="P32" s="55">
        <f t="shared" si="4"/>
        <v>0</v>
      </c>
      <c r="Q32" s="56"/>
    </row>
    <row r="33" spans="1:17" s="32" customFormat="1" ht="120" customHeight="1" hidden="1" outlineLevel="5">
      <c r="A33" s="24" t="s">
        <v>46</v>
      </c>
      <c r="B33" s="48"/>
      <c r="C33" s="49" t="s">
        <v>44</v>
      </c>
      <c r="D33" s="144" t="s">
        <v>46</v>
      </c>
      <c r="E33" s="51"/>
      <c r="F33" s="51"/>
      <c r="G33" s="52">
        <f t="shared" si="1"/>
        <v>0</v>
      </c>
      <c r="H33" s="53" t="e">
        <f t="shared" si="2"/>
        <v>#DIV/0!</v>
      </c>
      <c r="I33" s="51">
        <v>0</v>
      </c>
      <c r="J33" s="51"/>
      <c r="K33" s="51"/>
      <c r="L33" s="51"/>
      <c r="M33" s="54" t="e">
        <f t="shared" si="3"/>
        <v>#DIV/0!</v>
      </c>
      <c r="N33" s="51"/>
      <c r="O33" s="54" t="e">
        <f t="shared" si="0"/>
        <v>#DIV/0!</v>
      </c>
      <c r="P33" s="55">
        <f t="shared" si="4"/>
        <v>0</v>
      </c>
      <c r="Q33" s="56"/>
    </row>
    <row r="34" spans="1:17" s="32" customFormat="1" ht="120" customHeight="1" hidden="1" outlineLevel="5">
      <c r="A34" s="24" t="s">
        <v>47</v>
      </c>
      <c r="B34" s="48"/>
      <c r="C34" s="49" t="s">
        <v>44</v>
      </c>
      <c r="D34" s="144" t="s">
        <v>47</v>
      </c>
      <c r="E34" s="51"/>
      <c r="F34" s="51"/>
      <c r="G34" s="52">
        <f t="shared" si="1"/>
        <v>0</v>
      </c>
      <c r="H34" s="53" t="e">
        <f t="shared" si="2"/>
        <v>#DIV/0!</v>
      </c>
      <c r="I34" s="51">
        <v>0</v>
      </c>
      <c r="J34" s="51"/>
      <c r="K34" s="51"/>
      <c r="L34" s="51"/>
      <c r="M34" s="54" t="e">
        <f t="shared" si="3"/>
        <v>#DIV/0!</v>
      </c>
      <c r="N34" s="51"/>
      <c r="O34" s="54" t="e">
        <f t="shared" si="0"/>
        <v>#DIV/0!</v>
      </c>
      <c r="P34" s="55">
        <f t="shared" si="4"/>
        <v>0</v>
      </c>
      <c r="Q34" s="56"/>
    </row>
    <row r="35" spans="1:17" s="32" customFormat="1" ht="15.75" customHeight="1" hidden="1" outlineLevel="3">
      <c r="A35" s="24" t="s">
        <v>48</v>
      </c>
      <c r="B35" s="48"/>
      <c r="C35" s="49" t="s">
        <v>23</v>
      </c>
      <c r="D35" s="144" t="s">
        <v>48</v>
      </c>
      <c r="E35" s="51"/>
      <c r="F35" s="51"/>
      <c r="G35" s="52">
        <f t="shared" si="1"/>
        <v>0</v>
      </c>
      <c r="H35" s="53" t="e">
        <f t="shared" si="2"/>
        <v>#DIV/0!</v>
      </c>
      <c r="I35" s="51">
        <v>300100</v>
      </c>
      <c r="J35" s="51"/>
      <c r="K35" s="51"/>
      <c r="L35" s="51"/>
      <c r="M35" s="54" t="e">
        <f t="shared" si="3"/>
        <v>#DIV/0!</v>
      </c>
      <c r="N35" s="51"/>
      <c r="O35" s="54">
        <f t="shared" si="0"/>
        <v>0</v>
      </c>
      <c r="P35" s="55">
        <f t="shared" si="4"/>
        <v>0</v>
      </c>
      <c r="Q35" s="56"/>
    </row>
    <row r="36" spans="1:17" s="32" customFormat="1" ht="270" customHeight="1" hidden="1" outlineLevel="4">
      <c r="A36" s="24" t="s">
        <v>49</v>
      </c>
      <c r="B36" s="48"/>
      <c r="C36" s="49" t="s">
        <v>50</v>
      </c>
      <c r="D36" s="144" t="s">
        <v>49</v>
      </c>
      <c r="E36" s="51"/>
      <c r="F36" s="51"/>
      <c r="G36" s="52">
        <f t="shared" si="1"/>
        <v>0</v>
      </c>
      <c r="H36" s="53" t="e">
        <f t="shared" si="2"/>
        <v>#DIV/0!</v>
      </c>
      <c r="I36" s="51">
        <v>300100</v>
      </c>
      <c r="J36" s="51"/>
      <c r="K36" s="51"/>
      <c r="L36" s="51"/>
      <c r="M36" s="54" t="e">
        <f t="shared" si="3"/>
        <v>#DIV/0!</v>
      </c>
      <c r="N36" s="51"/>
      <c r="O36" s="54">
        <f t="shared" si="0"/>
        <v>0</v>
      </c>
      <c r="P36" s="55">
        <f t="shared" si="4"/>
        <v>0</v>
      </c>
      <c r="Q36" s="56"/>
    </row>
    <row r="37" spans="1:17" s="32" customFormat="1" ht="270" customHeight="1" hidden="1" outlineLevel="5">
      <c r="A37" s="24" t="s">
        <v>49</v>
      </c>
      <c r="B37" s="48"/>
      <c r="C37" s="49" t="s">
        <v>51</v>
      </c>
      <c r="D37" s="144" t="s">
        <v>49</v>
      </c>
      <c r="E37" s="51"/>
      <c r="F37" s="51"/>
      <c r="G37" s="52">
        <f t="shared" si="1"/>
        <v>0</v>
      </c>
      <c r="H37" s="53" t="e">
        <f t="shared" si="2"/>
        <v>#DIV/0!</v>
      </c>
      <c r="I37" s="51">
        <v>300100</v>
      </c>
      <c r="J37" s="51"/>
      <c r="K37" s="51"/>
      <c r="L37" s="51"/>
      <c r="M37" s="54" t="e">
        <f t="shared" si="3"/>
        <v>#DIV/0!</v>
      </c>
      <c r="N37" s="51"/>
      <c r="O37" s="54">
        <f t="shared" si="0"/>
        <v>0</v>
      </c>
      <c r="P37" s="55">
        <f t="shared" si="4"/>
        <v>0</v>
      </c>
      <c r="Q37" s="56"/>
    </row>
    <row r="38" spans="1:17" s="32" customFormat="1" ht="409.5" customHeight="1" hidden="1" outlineLevel="5">
      <c r="A38" s="24" t="s">
        <v>52</v>
      </c>
      <c r="B38" s="48"/>
      <c r="C38" s="49" t="s">
        <v>53</v>
      </c>
      <c r="D38" s="144" t="s">
        <v>52</v>
      </c>
      <c r="E38" s="51">
        <v>8650982.19</v>
      </c>
      <c r="F38" s="51"/>
      <c r="G38" s="52">
        <f t="shared" si="1"/>
        <v>-8650982.19</v>
      </c>
      <c r="H38" s="53">
        <f t="shared" si="2"/>
        <v>0</v>
      </c>
      <c r="I38" s="51">
        <v>0</v>
      </c>
      <c r="J38" s="51"/>
      <c r="K38" s="51"/>
      <c r="L38" s="51"/>
      <c r="M38" s="54">
        <f t="shared" si="3"/>
        <v>0</v>
      </c>
      <c r="N38" s="51"/>
      <c r="O38" s="54" t="e">
        <f t="shared" si="0"/>
        <v>#DIV/0!</v>
      </c>
      <c r="P38" s="55">
        <f t="shared" si="4"/>
        <v>0</v>
      </c>
      <c r="Q38" s="56"/>
    </row>
    <row r="39" spans="1:17" s="32" customFormat="1" ht="57.75" customHeight="1" outlineLevel="2" collapsed="1">
      <c r="A39" s="24" t="s">
        <v>54</v>
      </c>
      <c r="B39" s="48" t="s">
        <v>55</v>
      </c>
      <c r="C39" s="49" t="s">
        <v>56</v>
      </c>
      <c r="D39" s="144" t="s">
        <v>54</v>
      </c>
      <c r="E39" s="51">
        <v>10254357.32</v>
      </c>
      <c r="F39" s="51">
        <v>3970587.7</v>
      </c>
      <c r="G39" s="52">
        <f t="shared" si="1"/>
        <v>-6283769.62</v>
      </c>
      <c r="H39" s="53">
        <f t="shared" si="2"/>
        <v>0.38720980516797515</v>
      </c>
      <c r="I39" s="51">
        <v>9197170</v>
      </c>
      <c r="J39" s="51">
        <v>676056.9</v>
      </c>
      <c r="K39" s="51">
        <f>4146941.77+4505.17</f>
        <v>4151446.94</v>
      </c>
      <c r="L39" s="28">
        <f>K39-J39</f>
        <v>3475390.04</v>
      </c>
      <c r="M39" s="54">
        <f t="shared" si="3"/>
        <v>-1.4636389549876592</v>
      </c>
      <c r="N39" s="51">
        <f>K39-I39</f>
        <v>-5045723.0600000005</v>
      </c>
      <c r="O39" s="54">
        <f t="shared" si="0"/>
        <v>0.45138308196977983</v>
      </c>
      <c r="P39" s="55">
        <f t="shared" si="4"/>
        <v>180859.23999999976</v>
      </c>
      <c r="Q39" s="149" t="s">
        <v>267</v>
      </c>
    </row>
    <row r="40" spans="1:17" s="32" customFormat="1" ht="58.5" customHeight="1" outlineLevel="1">
      <c r="A40" s="24" t="s">
        <v>57</v>
      </c>
      <c r="B40" s="48" t="s">
        <v>58</v>
      </c>
      <c r="C40" s="49" t="s">
        <v>59</v>
      </c>
      <c r="D40" s="144" t="s">
        <v>57</v>
      </c>
      <c r="E40" s="58">
        <f>E41+E42+E52+E56</f>
        <v>45903932.26</v>
      </c>
      <c r="F40" s="51">
        <f>F41+F42+F52+F56</f>
        <v>21054922.630000003</v>
      </c>
      <c r="G40" s="52">
        <f t="shared" si="1"/>
        <v>-24849009.629999995</v>
      </c>
      <c r="H40" s="53">
        <f t="shared" si="2"/>
        <v>0.45867361669028406</v>
      </c>
      <c r="I40" s="51">
        <f>I41+I42+I52+I56</f>
        <v>44278800</v>
      </c>
      <c r="J40" s="51">
        <f>J41+J42+J52+J56</f>
        <v>1291804</v>
      </c>
      <c r="K40" s="51">
        <f>K41+K42+K52+K56</f>
        <v>22779620.51</v>
      </c>
      <c r="L40" s="28">
        <f>K40-J40</f>
        <v>21487816.51</v>
      </c>
      <c r="M40" s="54">
        <f t="shared" si="3"/>
        <v>-1.7819140746173878</v>
      </c>
      <c r="N40" s="51">
        <f>N41+N42+N52+N56</f>
        <v>-21499179.49</v>
      </c>
      <c r="O40" s="54">
        <f t="shared" si="0"/>
        <v>0.5144588496074871</v>
      </c>
      <c r="P40" s="55">
        <f t="shared" si="4"/>
        <v>1724697.879999999</v>
      </c>
      <c r="Q40" s="149" t="s">
        <v>267</v>
      </c>
    </row>
    <row r="41" spans="1:17" s="32" customFormat="1" ht="41.25" customHeight="1" outlineLevel="1">
      <c r="A41" s="24"/>
      <c r="B41" s="48" t="s">
        <v>60</v>
      </c>
      <c r="C41" s="59" t="s">
        <v>61</v>
      </c>
      <c r="D41" s="60" t="s">
        <v>62</v>
      </c>
      <c r="E41" s="61">
        <v>33191065.25</v>
      </c>
      <c r="F41" s="61">
        <v>15314748.16</v>
      </c>
      <c r="G41" s="62">
        <f>F41-E41</f>
        <v>-17876317.09</v>
      </c>
      <c r="H41" s="63"/>
      <c r="I41" s="61">
        <v>31715800</v>
      </c>
      <c r="J41" s="61">
        <v>728906</v>
      </c>
      <c r="K41" s="61">
        <f>19608205+55442.26</f>
        <v>19663647.26</v>
      </c>
      <c r="L41" s="61">
        <f>K41-J41</f>
        <v>18934741.26</v>
      </c>
      <c r="M41" s="63">
        <f t="shared" si="3"/>
        <v>-1.7741797619903374</v>
      </c>
      <c r="N41" s="61">
        <f>K41-I41</f>
        <v>-12052152.739999998</v>
      </c>
      <c r="O41" s="63">
        <f t="shared" si="0"/>
        <v>0.6199953102239263</v>
      </c>
      <c r="P41" s="61">
        <f>K41-F41</f>
        <v>4348899.1000000015</v>
      </c>
      <c r="Q41" s="57"/>
    </row>
    <row r="42" spans="1:17" ht="28.5" outlineLevel="2">
      <c r="A42" s="64" t="s">
        <v>63</v>
      </c>
      <c r="B42" s="65" t="s">
        <v>64</v>
      </c>
      <c r="C42" s="59" t="s">
        <v>65</v>
      </c>
      <c r="D42" s="60" t="s">
        <v>63</v>
      </c>
      <c r="E42" s="61">
        <v>108221.73</v>
      </c>
      <c r="F42" s="61">
        <v>69665.09</v>
      </c>
      <c r="G42" s="62">
        <f>F42-E42</f>
        <v>-38556.64</v>
      </c>
      <c r="H42" s="63">
        <f>F42/E42</f>
        <v>0.6437255253635291</v>
      </c>
      <c r="I42" s="61"/>
      <c r="J42" s="61"/>
      <c r="K42" s="61">
        <v>-219916.54</v>
      </c>
      <c r="L42" s="61">
        <f aca="true" t="shared" si="5" ref="L42:L56">K42-J42</f>
        <v>-219916.54</v>
      </c>
      <c r="M42" s="63">
        <f t="shared" si="3"/>
        <v>0</v>
      </c>
      <c r="N42" s="61">
        <f>K42-I42</f>
        <v>-219916.54</v>
      </c>
      <c r="O42" s="63"/>
      <c r="P42" s="61">
        <f>K42-F42</f>
        <v>-289581.63</v>
      </c>
      <c r="Q42" s="66" t="s">
        <v>263</v>
      </c>
    </row>
    <row r="43" spans="1:17" ht="15" customHeight="1" hidden="1" outlineLevel="3">
      <c r="A43" s="64" t="s">
        <v>66</v>
      </c>
      <c r="B43" s="65"/>
      <c r="C43" s="59" t="s">
        <v>23</v>
      </c>
      <c r="D43" s="60" t="s">
        <v>66</v>
      </c>
      <c r="E43" s="61"/>
      <c r="F43" s="61"/>
      <c r="G43" s="62">
        <f aca="true" t="shared" si="6" ref="G43:G56">F43-E43</f>
        <v>0</v>
      </c>
      <c r="H43" s="63" t="e">
        <f aca="true" t="shared" si="7" ref="H43:H56">F43/E43</f>
        <v>#DIV/0!</v>
      </c>
      <c r="I43" s="61">
        <v>57591300</v>
      </c>
      <c r="J43" s="61"/>
      <c r="K43" s="61"/>
      <c r="L43" s="61">
        <f t="shared" si="5"/>
        <v>0</v>
      </c>
      <c r="M43" s="63" t="e">
        <f t="shared" si="3"/>
        <v>#DIV/0!</v>
      </c>
      <c r="N43" s="61">
        <f aca="true" t="shared" si="8" ref="N43:N56">K43-I43</f>
        <v>-57591300</v>
      </c>
      <c r="O43" s="63">
        <f t="shared" si="0"/>
        <v>0</v>
      </c>
      <c r="P43" s="61">
        <f aca="true" t="shared" si="9" ref="P43:P56">K43-F43</f>
        <v>0</v>
      </c>
      <c r="Q43" s="67"/>
    </row>
    <row r="44" spans="1:17" ht="57" customHeight="1" hidden="1" outlineLevel="4">
      <c r="A44" s="64" t="s">
        <v>67</v>
      </c>
      <c r="B44" s="65"/>
      <c r="C44" s="59" t="s">
        <v>68</v>
      </c>
      <c r="D44" s="60" t="s">
        <v>67</v>
      </c>
      <c r="E44" s="61"/>
      <c r="F44" s="61"/>
      <c r="G44" s="62">
        <f t="shared" si="6"/>
        <v>0</v>
      </c>
      <c r="H44" s="63" t="e">
        <f t="shared" si="7"/>
        <v>#DIV/0!</v>
      </c>
      <c r="I44" s="61">
        <v>57591300</v>
      </c>
      <c r="J44" s="61"/>
      <c r="K44" s="61"/>
      <c r="L44" s="61">
        <f t="shared" si="5"/>
        <v>0</v>
      </c>
      <c r="M44" s="63" t="e">
        <f t="shared" si="3"/>
        <v>#DIV/0!</v>
      </c>
      <c r="N44" s="61">
        <f t="shared" si="8"/>
        <v>-57591300</v>
      </c>
      <c r="O44" s="63">
        <f t="shared" si="0"/>
        <v>0</v>
      </c>
      <c r="P44" s="61">
        <f t="shared" si="9"/>
        <v>0</v>
      </c>
      <c r="Q44" s="67"/>
    </row>
    <row r="45" spans="1:17" ht="57" customHeight="1" hidden="1" outlineLevel="5">
      <c r="A45" s="64" t="s">
        <v>67</v>
      </c>
      <c r="B45" s="65"/>
      <c r="C45" s="59" t="s">
        <v>69</v>
      </c>
      <c r="D45" s="60" t="s">
        <v>67</v>
      </c>
      <c r="E45" s="61"/>
      <c r="F45" s="61"/>
      <c r="G45" s="62">
        <f t="shared" si="6"/>
        <v>0</v>
      </c>
      <c r="H45" s="63" t="e">
        <f t="shared" si="7"/>
        <v>#DIV/0!</v>
      </c>
      <c r="I45" s="61">
        <v>57591300</v>
      </c>
      <c r="J45" s="61"/>
      <c r="K45" s="61"/>
      <c r="L45" s="61">
        <f t="shared" si="5"/>
        <v>0</v>
      </c>
      <c r="M45" s="63" t="e">
        <f t="shared" si="3"/>
        <v>#DIV/0!</v>
      </c>
      <c r="N45" s="61">
        <f t="shared" si="8"/>
        <v>-57591300</v>
      </c>
      <c r="O45" s="63">
        <f t="shared" si="0"/>
        <v>0</v>
      </c>
      <c r="P45" s="61">
        <f t="shared" si="9"/>
        <v>0</v>
      </c>
      <c r="Q45" s="67"/>
    </row>
    <row r="46" spans="1:17" ht="57" customHeight="1" hidden="1" outlineLevel="5">
      <c r="A46" s="64" t="s">
        <v>70</v>
      </c>
      <c r="B46" s="65"/>
      <c r="C46" s="59" t="s">
        <v>69</v>
      </c>
      <c r="D46" s="60" t="s">
        <v>70</v>
      </c>
      <c r="E46" s="61"/>
      <c r="F46" s="61"/>
      <c r="G46" s="62">
        <f t="shared" si="6"/>
        <v>0</v>
      </c>
      <c r="H46" s="63" t="e">
        <f t="shared" si="7"/>
        <v>#DIV/0!</v>
      </c>
      <c r="I46" s="61">
        <v>0</v>
      </c>
      <c r="J46" s="61"/>
      <c r="K46" s="61"/>
      <c r="L46" s="61">
        <f t="shared" si="5"/>
        <v>0</v>
      </c>
      <c r="M46" s="63" t="e">
        <f t="shared" si="3"/>
        <v>#DIV/0!</v>
      </c>
      <c r="N46" s="61">
        <f t="shared" si="8"/>
        <v>0</v>
      </c>
      <c r="O46" s="63" t="e">
        <f t="shared" si="0"/>
        <v>#DIV/0!</v>
      </c>
      <c r="P46" s="61">
        <f t="shared" si="9"/>
        <v>0</v>
      </c>
      <c r="Q46" s="67"/>
    </row>
    <row r="47" spans="1:17" ht="57" customHeight="1" hidden="1" outlineLevel="5">
      <c r="A47" s="64" t="s">
        <v>71</v>
      </c>
      <c r="B47" s="65"/>
      <c r="C47" s="59" t="s">
        <v>69</v>
      </c>
      <c r="D47" s="60" t="s">
        <v>71</v>
      </c>
      <c r="E47" s="61"/>
      <c r="F47" s="61"/>
      <c r="G47" s="62">
        <f t="shared" si="6"/>
        <v>0</v>
      </c>
      <c r="H47" s="63" t="e">
        <f t="shared" si="7"/>
        <v>#DIV/0!</v>
      </c>
      <c r="I47" s="61">
        <v>0</v>
      </c>
      <c r="J47" s="61"/>
      <c r="K47" s="61"/>
      <c r="L47" s="61">
        <f t="shared" si="5"/>
        <v>0</v>
      </c>
      <c r="M47" s="63" t="e">
        <f t="shared" si="3"/>
        <v>#DIV/0!</v>
      </c>
      <c r="N47" s="61">
        <f t="shared" si="8"/>
        <v>0</v>
      </c>
      <c r="O47" s="63" t="e">
        <f t="shared" si="0"/>
        <v>#DIV/0!</v>
      </c>
      <c r="P47" s="61">
        <f t="shared" si="9"/>
        <v>0</v>
      </c>
      <c r="Q47" s="67"/>
    </row>
    <row r="48" spans="1:17" ht="57" customHeight="1" hidden="1" outlineLevel="5">
      <c r="A48" s="64" t="s">
        <v>72</v>
      </c>
      <c r="B48" s="65"/>
      <c r="C48" s="59" t="s">
        <v>69</v>
      </c>
      <c r="D48" s="60" t="s">
        <v>72</v>
      </c>
      <c r="E48" s="61"/>
      <c r="F48" s="61"/>
      <c r="G48" s="62">
        <f t="shared" si="6"/>
        <v>0</v>
      </c>
      <c r="H48" s="63" t="e">
        <f t="shared" si="7"/>
        <v>#DIV/0!</v>
      </c>
      <c r="I48" s="61">
        <v>0</v>
      </c>
      <c r="J48" s="61"/>
      <c r="K48" s="61"/>
      <c r="L48" s="61">
        <f t="shared" si="5"/>
        <v>0</v>
      </c>
      <c r="M48" s="63" t="e">
        <f t="shared" si="3"/>
        <v>#DIV/0!</v>
      </c>
      <c r="N48" s="61">
        <f t="shared" si="8"/>
        <v>0</v>
      </c>
      <c r="O48" s="63" t="e">
        <f t="shared" si="0"/>
        <v>#DIV/0!</v>
      </c>
      <c r="P48" s="61">
        <f t="shared" si="9"/>
        <v>0</v>
      </c>
      <c r="Q48" s="67"/>
    </row>
    <row r="49" spans="1:17" ht="15" customHeight="1" hidden="1" outlineLevel="3">
      <c r="A49" s="64" t="s">
        <v>73</v>
      </c>
      <c r="B49" s="65"/>
      <c r="C49" s="59" t="s">
        <v>23</v>
      </c>
      <c r="D49" s="60" t="s">
        <v>73</v>
      </c>
      <c r="E49" s="61"/>
      <c r="F49" s="61"/>
      <c r="G49" s="62">
        <f t="shared" si="6"/>
        <v>0</v>
      </c>
      <c r="H49" s="63" t="e">
        <f t="shared" si="7"/>
        <v>#DIV/0!</v>
      </c>
      <c r="I49" s="61">
        <v>0</v>
      </c>
      <c r="J49" s="61"/>
      <c r="K49" s="61"/>
      <c r="L49" s="61">
        <f t="shared" si="5"/>
        <v>0</v>
      </c>
      <c r="M49" s="63" t="e">
        <f t="shared" si="3"/>
        <v>#DIV/0!</v>
      </c>
      <c r="N49" s="61">
        <f t="shared" si="8"/>
        <v>0</v>
      </c>
      <c r="O49" s="63" t="e">
        <f t="shared" si="0"/>
        <v>#DIV/0!</v>
      </c>
      <c r="P49" s="61">
        <f t="shared" si="9"/>
        <v>0</v>
      </c>
      <c r="Q49" s="67"/>
    </row>
    <row r="50" spans="1:17" ht="99.75" customHeight="1" hidden="1" outlineLevel="4">
      <c r="A50" s="64" t="s">
        <v>74</v>
      </c>
      <c r="B50" s="65"/>
      <c r="C50" s="59" t="s">
        <v>75</v>
      </c>
      <c r="D50" s="60" t="s">
        <v>74</v>
      </c>
      <c r="E50" s="61"/>
      <c r="F50" s="61"/>
      <c r="G50" s="62">
        <f t="shared" si="6"/>
        <v>0</v>
      </c>
      <c r="H50" s="63" t="e">
        <f t="shared" si="7"/>
        <v>#DIV/0!</v>
      </c>
      <c r="I50" s="61">
        <v>0</v>
      </c>
      <c r="J50" s="61"/>
      <c r="K50" s="61"/>
      <c r="L50" s="61">
        <f t="shared" si="5"/>
        <v>0</v>
      </c>
      <c r="M50" s="63" t="e">
        <f t="shared" si="3"/>
        <v>#DIV/0!</v>
      </c>
      <c r="N50" s="61">
        <f t="shared" si="8"/>
        <v>0</v>
      </c>
      <c r="O50" s="63" t="e">
        <f t="shared" si="0"/>
        <v>#DIV/0!</v>
      </c>
      <c r="P50" s="61">
        <f t="shared" si="9"/>
        <v>0</v>
      </c>
      <c r="Q50" s="67"/>
    </row>
    <row r="51" spans="1:17" ht="99.75" customHeight="1" hidden="1" outlineLevel="5">
      <c r="A51" s="64" t="s">
        <v>76</v>
      </c>
      <c r="B51" s="65"/>
      <c r="C51" s="59" t="s">
        <v>77</v>
      </c>
      <c r="D51" s="60" t="s">
        <v>76</v>
      </c>
      <c r="E51" s="61"/>
      <c r="F51" s="61"/>
      <c r="G51" s="62">
        <f t="shared" si="6"/>
        <v>0</v>
      </c>
      <c r="H51" s="63" t="e">
        <f t="shared" si="7"/>
        <v>#DIV/0!</v>
      </c>
      <c r="I51" s="61">
        <v>0</v>
      </c>
      <c r="J51" s="61"/>
      <c r="K51" s="61"/>
      <c r="L51" s="61">
        <f t="shared" si="5"/>
        <v>0</v>
      </c>
      <c r="M51" s="63" t="e">
        <f t="shared" si="3"/>
        <v>#DIV/0!</v>
      </c>
      <c r="N51" s="61">
        <f t="shared" si="8"/>
        <v>0</v>
      </c>
      <c r="O51" s="63" t="e">
        <f t="shared" si="0"/>
        <v>#DIV/0!</v>
      </c>
      <c r="P51" s="61">
        <f t="shared" si="9"/>
        <v>0</v>
      </c>
      <c r="Q51" s="67"/>
    </row>
    <row r="52" spans="1:17" ht="18.75" customHeight="1" outlineLevel="2" collapsed="1">
      <c r="A52" s="64" t="s">
        <v>78</v>
      </c>
      <c r="B52" s="65" t="s">
        <v>79</v>
      </c>
      <c r="C52" s="59" t="s">
        <v>80</v>
      </c>
      <c r="D52" s="60" t="s">
        <v>78</v>
      </c>
      <c r="E52" s="62">
        <v>63052.38</v>
      </c>
      <c r="F52" s="62">
        <v>63051.56</v>
      </c>
      <c r="G52" s="62">
        <f t="shared" si="6"/>
        <v>-0.819999999999709</v>
      </c>
      <c r="H52" s="63">
        <f t="shared" si="7"/>
        <v>0.9999869949397628</v>
      </c>
      <c r="I52" s="61">
        <v>63000</v>
      </c>
      <c r="J52" s="61"/>
      <c r="K52" s="62">
        <v>17679</v>
      </c>
      <c r="L52" s="61">
        <f t="shared" si="5"/>
        <v>17679</v>
      </c>
      <c r="M52" s="63">
        <f t="shared" si="3"/>
        <v>-76829.2682927102</v>
      </c>
      <c r="N52" s="61">
        <f t="shared" si="8"/>
        <v>-45321</v>
      </c>
      <c r="O52" s="63">
        <f t="shared" si="0"/>
        <v>0.2806190476190476</v>
      </c>
      <c r="P52" s="61">
        <f t="shared" si="9"/>
        <v>-45372.56</v>
      </c>
      <c r="Q52" s="67"/>
    </row>
    <row r="53" spans="1:17" ht="15" customHeight="1" hidden="1" outlineLevel="3">
      <c r="A53" s="64" t="s">
        <v>81</v>
      </c>
      <c r="B53" s="65"/>
      <c r="C53" s="59" t="s">
        <v>23</v>
      </c>
      <c r="D53" s="60" t="s">
        <v>81</v>
      </c>
      <c r="E53" s="61"/>
      <c r="F53" s="61"/>
      <c r="G53" s="62">
        <f t="shared" si="6"/>
        <v>0</v>
      </c>
      <c r="H53" s="63" t="e">
        <f t="shared" si="7"/>
        <v>#DIV/0!</v>
      </c>
      <c r="I53" s="61"/>
      <c r="J53" s="61"/>
      <c r="K53" s="61"/>
      <c r="L53" s="61">
        <f t="shared" si="5"/>
        <v>0</v>
      </c>
      <c r="M53" s="63" t="e">
        <f t="shared" si="3"/>
        <v>#DIV/0!</v>
      </c>
      <c r="N53" s="61">
        <f t="shared" si="8"/>
        <v>0</v>
      </c>
      <c r="O53" s="63" t="e">
        <f t="shared" si="0"/>
        <v>#DIV/0!</v>
      </c>
      <c r="P53" s="61">
        <f t="shared" si="9"/>
        <v>0</v>
      </c>
      <c r="Q53" s="68"/>
    </row>
    <row r="54" spans="1:17" ht="42.75" customHeight="1" hidden="1" outlineLevel="4">
      <c r="A54" s="64" t="s">
        <v>82</v>
      </c>
      <c r="B54" s="65"/>
      <c r="C54" s="59" t="s">
        <v>83</v>
      </c>
      <c r="D54" s="60" t="s">
        <v>82</v>
      </c>
      <c r="E54" s="61"/>
      <c r="F54" s="61"/>
      <c r="G54" s="62">
        <f t="shared" si="6"/>
        <v>0</v>
      </c>
      <c r="H54" s="63" t="e">
        <f t="shared" si="7"/>
        <v>#DIV/0!</v>
      </c>
      <c r="I54" s="61"/>
      <c r="J54" s="61"/>
      <c r="K54" s="61"/>
      <c r="L54" s="61">
        <f t="shared" si="5"/>
        <v>0</v>
      </c>
      <c r="M54" s="63" t="e">
        <f t="shared" si="3"/>
        <v>#DIV/0!</v>
      </c>
      <c r="N54" s="61">
        <f t="shared" si="8"/>
        <v>0</v>
      </c>
      <c r="O54" s="63" t="e">
        <f t="shared" si="0"/>
        <v>#DIV/0!</v>
      </c>
      <c r="P54" s="61">
        <f t="shared" si="9"/>
        <v>0</v>
      </c>
      <c r="Q54" s="68"/>
    </row>
    <row r="55" spans="1:17" ht="42.75" customHeight="1" hidden="1" outlineLevel="5">
      <c r="A55" s="64" t="s">
        <v>82</v>
      </c>
      <c r="B55" s="65"/>
      <c r="C55" s="59" t="s">
        <v>84</v>
      </c>
      <c r="D55" s="60" t="s">
        <v>82</v>
      </c>
      <c r="E55" s="61"/>
      <c r="F55" s="61"/>
      <c r="G55" s="62">
        <f t="shared" si="6"/>
        <v>0</v>
      </c>
      <c r="H55" s="63" t="e">
        <f t="shared" si="7"/>
        <v>#DIV/0!</v>
      </c>
      <c r="I55" s="61"/>
      <c r="J55" s="61"/>
      <c r="K55" s="61"/>
      <c r="L55" s="61">
        <f t="shared" si="5"/>
        <v>0</v>
      </c>
      <c r="M55" s="63" t="e">
        <f t="shared" si="3"/>
        <v>#DIV/0!</v>
      </c>
      <c r="N55" s="61">
        <f t="shared" si="8"/>
        <v>0</v>
      </c>
      <c r="O55" s="63" t="e">
        <f t="shared" si="0"/>
        <v>#DIV/0!</v>
      </c>
      <c r="P55" s="61">
        <f t="shared" si="9"/>
        <v>0</v>
      </c>
      <c r="Q55" s="68"/>
    </row>
    <row r="56" spans="1:17" ht="30" customHeight="1" outlineLevel="2" collapsed="1">
      <c r="A56" s="64" t="s">
        <v>85</v>
      </c>
      <c r="B56" s="65" t="s">
        <v>86</v>
      </c>
      <c r="C56" s="59" t="s">
        <v>87</v>
      </c>
      <c r="D56" s="60" t="s">
        <v>85</v>
      </c>
      <c r="E56" s="61">
        <v>12541592.9</v>
      </c>
      <c r="F56" s="61">
        <v>5607457.82</v>
      </c>
      <c r="G56" s="62">
        <f t="shared" si="6"/>
        <v>-6934135.08</v>
      </c>
      <c r="H56" s="63">
        <f t="shared" si="7"/>
        <v>0.447108901134879</v>
      </c>
      <c r="I56" s="61">
        <v>12500000</v>
      </c>
      <c r="J56" s="61">
        <v>562898</v>
      </c>
      <c r="K56" s="61">
        <f>3311547.04+6663.75</f>
        <v>3318210.79</v>
      </c>
      <c r="L56" s="61">
        <f t="shared" si="5"/>
        <v>2755312.79</v>
      </c>
      <c r="M56" s="63">
        <f t="shared" si="3"/>
        <v>-1.802676160153488</v>
      </c>
      <c r="N56" s="61">
        <f t="shared" si="8"/>
        <v>-9181789.21</v>
      </c>
      <c r="O56" s="63">
        <f t="shared" si="0"/>
        <v>0.2654568632</v>
      </c>
      <c r="P56" s="61">
        <f t="shared" si="9"/>
        <v>-2289247.0300000003</v>
      </c>
      <c r="Q56" s="66"/>
    </row>
    <row r="57" spans="1:17" ht="15" customHeight="1" hidden="1" outlineLevel="3">
      <c r="A57" s="64" t="s">
        <v>88</v>
      </c>
      <c r="B57" s="65"/>
      <c r="C57" s="59" t="s">
        <v>23</v>
      </c>
      <c r="D57" s="60" t="s">
        <v>88</v>
      </c>
      <c r="E57" s="61">
        <v>401120</v>
      </c>
      <c r="F57" s="61">
        <v>401120</v>
      </c>
      <c r="G57" s="62"/>
      <c r="H57" s="63" t="e">
        <f>E57/#REF!</f>
        <v>#REF!</v>
      </c>
      <c r="I57" s="61">
        <v>8300000</v>
      </c>
      <c r="J57" s="61"/>
      <c r="K57" s="61">
        <v>401120</v>
      </c>
      <c r="L57" s="61"/>
      <c r="M57" s="63" t="e">
        <f t="shared" si="3"/>
        <v>#DIV/0!</v>
      </c>
      <c r="N57" s="61"/>
      <c r="O57" s="63">
        <f t="shared" si="0"/>
        <v>0.04832771084337349</v>
      </c>
      <c r="P57" s="61" t="e">
        <f>E57-#REF!</f>
        <v>#REF!</v>
      </c>
      <c r="Q57" s="68"/>
    </row>
    <row r="58" spans="1:17" ht="85.5" customHeight="1" hidden="1" outlineLevel="4">
      <c r="A58" s="64" t="s">
        <v>89</v>
      </c>
      <c r="B58" s="65"/>
      <c r="C58" s="59" t="s">
        <v>90</v>
      </c>
      <c r="D58" s="60" t="s">
        <v>89</v>
      </c>
      <c r="E58" s="61">
        <v>0</v>
      </c>
      <c r="F58" s="61">
        <v>401120</v>
      </c>
      <c r="G58" s="62"/>
      <c r="H58" s="63" t="e">
        <f>E58/#REF!</f>
        <v>#REF!</v>
      </c>
      <c r="I58" s="61">
        <v>8300000</v>
      </c>
      <c r="J58" s="61"/>
      <c r="K58" s="61">
        <v>401120</v>
      </c>
      <c r="L58" s="61"/>
      <c r="M58" s="63" t="e">
        <f t="shared" si="3"/>
        <v>#DIV/0!</v>
      </c>
      <c r="N58" s="61"/>
      <c r="O58" s="63">
        <f t="shared" si="0"/>
        <v>0.04832771084337349</v>
      </c>
      <c r="P58" s="61" t="e">
        <f>E58-#REF!</f>
        <v>#REF!</v>
      </c>
      <c r="Q58" s="68"/>
    </row>
    <row r="59" spans="1:17" ht="99.75" customHeight="1" hidden="1" outlineLevel="5">
      <c r="A59" s="64" t="s">
        <v>89</v>
      </c>
      <c r="B59" s="65"/>
      <c r="C59" s="59" t="s">
        <v>91</v>
      </c>
      <c r="D59" s="60" t="s">
        <v>89</v>
      </c>
      <c r="E59" s="61">
        <v>401106.8</v>
      </c>
      <c r="F59" s="61">
        <v>0</v>
      </c>
      <c r="G59" s="62"/>
      <c r="H59" s="63" t="e">
        <f>E59/#REF!</f>
        <v>#REF!</v>
      </c>
      <c r="I59" s="61">
        <v>8300000</v>
      </c>
      <c r="J59" s="61"/>
      <c r="K59" s="61">
        <v>0</v>
      </c>
      <c r="L59" s="61"/>
      <c r="M59" s="63" t="e">
        <f t="shared" si="3"/>
        <v>#DIV/0!</v>
      </c>
      <c r="N59" s="61"/>
      <c r="O59" s="63">
        <f t="shared" si="0"/>
        <v>0</v>
      </c>
      <c r="P59" s="61" t="e">
        <f>E59-#REF!</f>
        <v>#REF!</v>
      </c>
      <c r="Q59" s="68"/>
    </row>
    <row r="60" spans="1:17" ht="99.75" customHeight="1" hidden="1" outlineLevel="5">
      <c r="A60" s="64" t="s">
        <v>92</v>
      </c>
      <c r="B60" s="65"/>
      <c r="C60" s="59" t="s">
        <v>91</v>
      </c>
      <c r="D60" s="60" t="s">
        <v>92</v>
      </c>
      <c r="E60" s="61">
        <v>13.2</v>
      </c>
      <c r="F60" s="61">
        <v>401106.8</v>
      </c>
      <c r="G60" s="62"/>
      <c r="H60" s="63" t="e">
        <f>E60/#REF!</f>
        <v>#REF!</v>
      </c>
      <c r="I60" s="61">
        <v>0</v>
      </c>
      <c r="J60" s="61"/>
      <c r="K60" s="61">
        <v>401106.8</v>
      </c>
      <c r="L60" s="61"/>
      <c r="M60" s="63" t="e">
        <f t="shared" si="3"/>
        <v>#DIV/0!</v>
      </c>
      <c r="N60" s="61"/>
      <c r="O60" s="63" t="e">
        <f t="shared" si="0"/>
        <v>#DIV/0!</v>
      </c>
      <c r="P60" s="61" t="e">
        <f>E60-#REF!</f>
        <v>#REF!</v>
      </c>
      <c r="Q60" s="68"/>
    </row>
    <row r="61" spans="1:17" ht="99.75" customHeight="1" hidden="1" outlineLevel="5">
      <c r="A61" s="64" t="s">
        <v>93</v>
      </c>
      <c r="B61" s="65"/>
      <c r="C61" s="59" t="s">
        <v>91</v>
      </c>
      <c r="D61" s="60" t="s">
        <v>93</v>
      </c>
      <c r="E61" s="51">
        <f>E62+E63+E64</f>
        <v>172244710.82</v>
      </c>
      <c r="F61" s="61">
        <v>13.2</v>
      </c>
      <c r="G61" s="62"/>
      <c r="H61" s="63" t="e">
        <f>E61/#REF!</f>
        <v>#REF!</v>
      </c>
      <c r="I61" s="61">
        <v>0</v>
      </c>
      <c r="J61" s="61"/>
      <c r="K61" s="61">
        <v>13.2</v>
      </c>
      <c r="L61" s="61"/>
      <c r="M61" s="63" t="e">
        <f t="shared" si="3"/>
        <v>#DIV/0!</v>
      </c>
      <c r="N61" s="61"/>
      <c r="O61" s="63" t="e">
        <f t="shared" si="0"/>
        <v>#DIV/0!</v>
      </c>
      <c r="P61" s="61" t="e">
        <f>E61-#REF!</f>
        <v>#REF!</v>
      </c>
      <c r="Q61" s="68"/>
    </row>
    <row r="62" spans="1:17" s="32" customFormat="1" ht="22.5" customHeight="1" outlineLevel="1" collapsed="1">
      <c r="A62" s="24" t="s">
        <v>94</v>
      </c>
      <c r="B62" s="48" t="s">
        <v>95</v>
      </c>
      <c r="C62" s="49" t="s">
        <v>96</v>
      </c>
      <c r="D62" s="50" t="s">
        <v>94</v>
      </c>
      <c r="E62" s="51">
        <f>E63+E64+E65</f>
        <v>95317580.9</v>
      </c>
      <c r="F62" s="51">
        <f>F63+F64+F65</f>
        <v>31007626.799999997</v>
      </c>
      <c r="G62" s="58">
        <f>F62-E62</f>
        <v>-64309954.10000001</v>
      </c>
      <c r="H62" s="54">
        <f aca="true" t="shared" si="10" ref="H62:H72">F62/E62</f>
        <v>0.32530857903885385</v>
      </c>
      <c r="I62" s="51">
        <f>I63+I64+I65</f>
        <v>75916097.63</v>
      </c>
      <c r="J62" s="51">
        <f>J63+J64+J65</f>
        <v>3543302</v>
      </c>
      <c r="K62" s="51">
        <f>K63+K64+K65</f>
        <v>15971447.64</v>
      </c>
      <c r="L62" s="51">
        <f>K62-J62</f>
        <v>12428145.64</v>
      </c>
      <c r="M62" s="54">
        <f t="shared" si="3"/>
        <v>-1.1804719610272585</v>
      </c>
      <c r="N62" s="51">
        <f>N63+N64+N65</f>
        <v>-59944649.99</v>
      </c>
      <c r="O62" s="54">
        <f t="shared" si="0"/>
        <v>0.2103828850350247</v>
      </c>
      <c r="P62" s="51">
        <f aca="true" t="shared" si="11" ref="P62:P72">K62-F62</f>
        <v>-15036179.159999996</v>
      </c>
      <c r="Q62" s="149" t="s">
        <v>267</v>
      </c>
    </row>
    <row r="63" spans="1:17" ht="28.5" outlineLevel="2">
      <c r="A63" s="64" t="s">
        <v>97</v>
      </c>
      <c r="B63" s="65" t="s">
        <v>98</v>
      </c>
      <c r="C63" s="59" t="s">
        <v>99</v>
      </c>
      <c r="D63" s="60" t="s">
        <v>97</v>
      </c>
      <c r="E63" s="61">
        <v>14947482.35</v>
      </c>
      <c r="F63" s="61">
        <v>1437864.72</v>
      </c>
      <c r="G63" s="62">
        <f>F63-E63</f>
        <v>-13509617.629999999</v>
      </c>
      <c r="H63" s="63">
        <f t="shared" si="10"/>
        <v>0.09619444173486513</v>
      </c>
      <c r="I63" s="61">
        <v>11900000</v>
      </c>
      <c r="J63" s="61">
        <v>80000</v>
      </c>
      <c r="K63" s="61">
        <f>1723300.32+1648.11</f>
        <v>1724948.4300000002</v>
      </c>
      <c r="L63" s="61">
        <f>K63-J63</f>
        <v>1644948.4300000002</v>
      </c>
      <c r="M63" s="63">
        <f t="shared" si="3"/>
        <v>-0.8808539461231222</v>
      </c>
      <c r="N63" s="61">
        <f>K63-I63</f>
        <v>-10175051.57</v>
      </c>
      <c r="O63" s="63">
        <f t="shared" si="0"/>
        <v>0.14495364957983195</v>
      </c>
      <c r="P63" s="61">
        <f t="shared" si="11"/>
        <v>287083.7100000002</v>
      </c>
      <c r="Q63" s="66"/>
    </row>
    <row r="64" spans="1:17" ht="42" customHeight="1" outlineLevel="4">
      <c r="A64" s="64" t="s">
        <v>100</v>
      </c>
      <c r="B64" s="65" t="s">
        <v>101</v>
      </c>
      <c r="C64" s="59" t="s">
        <v>102</v>
      </c>
      <c r="D64" s="60" t="s">
        <v>100</v>
      </c>
      <c r="E64" s="61">
        <v>61979647.57</v>
      </c>
      <c r="F64" s="61">
        <v>28461081.7</v>
      </c>
      <c r="G64" s="62">
        <f>F64-E64</f>
        <v>-33518565.87</v>
      </c>
      <c r="H64" s="63">
        <f t="shared" si="10"/>
        <v>0.4592004442725488</v>
      </c>
      <c r="I64" s="61">
        <v>47016097.63</v>
      </c>
      <c r="J64" s="61">
        <v>3011857</v>
      </c>
      <c r="K64" s="61">
        <f>12332056.81+1007.59</f>
        <v>12333064.4</v>
      </c>
      <c r="L64" s="61">
        <f>K64-J64</f>
        <v>9321207.4</v>
      </c>
      <c r="M64" s="63">
        <f t="shared" si="3"/>
        <v>-1.4026882239636824</v>
      </c>
      <c r="N64" s="61">
        <f>K64-I64</f>
        <v>-34683033.230000004</v>
      </c>
      <c r="O64" s="63">
        <f t="shared" si="0"/>
        <v>0.26231578165114505</v>
      </c>
      <c r="P64" s="61">
        <f t="shared" si="11"/>
        <v>-16128017.299999999</v>
      </c>
      <c r="Q64" s="66"/>
    </row>
    <row r="65" spans="1:17" ht="56.25" customHeight="1" outlineLevel="4">
      <c r="A65" s="64" t="s">
        <v>103</v>
      </c>
      <c r="B65" s="65" t="s">
        <v>104</v>
      </c>
      <c r="C65" s="59" t="s">
        <v>105</v>
      </c>
      <c r="D65" s="60" t="s">
        <v>103</v>
      </c>
      <c r="E65" s="61">
        <v>18390450.98</v>
      </c>
      <c r="F65" s="61">
        <v>1108680.38</v>
      </c>
      <c r="G65" s="62">
        <f>F65-E65</f>
        <v>-17281770.6</v>
      </c>
      <c r="H65" s="63">
        <f t="shared" si="10"/>
        <v>0.060285654832810405</v>
      </c>
      <c r="I65" s="61">
        <v>17000000</v>
      </c>
      <c r="J65" s="61">
        <v>451445</v>
      </c>
      <c r="K65" s="61">
        <f>1912416.81+1018</f>
        <v>1913434.81</v>
      </c>
      <c r="L65" s="61">
        <f>K65-J65</f>
        <v>1461989.81</v>
      </c>
      <c r="M65" s="63">
        <f t="shared" si="3"/>
        <v>-0.9836955016634695</v>
      </c>
      <c r="N65" s="61">
        <f>K65-I65</f>
        <v>-15086565.19</v>
      </c>
      <c r="O65" s="63">
        <f t="shared" si="0"/>
        <v>0.11255498882352942</v>
      </c>
      <c r="P65" s="61">
        <f t="shared" si="11"/>
        <v>804754.4300000002</v>
      </c>
      <c r="Q65" s="66"/>
    </row>
    <row r="66" spans="1:17" s="32" customFormat="1" ht="32.25" customHeight="1" outlineLevel="1">
      <c r="A66" s="24" t="s">
        <v>106</v>
      </c>
      <c r="B66" s="48" t="s">
        <v>107</v>
      </c>
      <c r="C66" s="49" t="s">
        <v>108</v>
      </c>
      <c r="D66" s="50" t="s">
        <v>106</v>
      </c>
      <c r="E66" s="51">
        <f>E67+E72</f>
        <v>10536108.33</v>
      </c>
      <c r="F66" s="51">
        <f>F67+F72</f>
        <v>4229692.18</v>
      </c>
      <c r="G66" s="58">
        <f>G67+G72</f>
        <v>-6306416.15</v>
      </c>
      <c r="H66" s="54">
        <f t="shared" si="10"/>
        <v>0.4014472941547669</v>
      </c>
      <c r="I66" s="51">
        <f>I67+I72</f>
        <v>11535000</v>
      </c>
      <c r="J66" s="51">
        <f>J67+J72</f>
        <v>605206</v>
      </c>
      <c r="K66" s="51">
        <f>K67+K72</f>
        <v>4111470.87</v>
      </c>
      <c r="L66" s="51">
        <f>K66-J66</f>
        <v>3506264.87</v>
      </c>
      <c r="M66" s="54">
        <f t="shared" si="3"/>
        <v>-1.8290895693586602</v>
      </c>
      <c r="N66" s="51">
        <f>N67+N72</f>
        <v>-7423529.13</v>
      </c>
      <c r="O66" s="54">
        <f t="shared" si="0"/>
        <v>0.35643440572171653</v>
      </c>
      <c r="P66" s="51">
        <f t="shared" si="11"/>
        <v>-118221.30999999959</v>
      </c>
      <c r="Q66" s="56"/>
    </row>
    <row r="67" spans="1:17" ht="91.5" customHeight="1" outlineLevel="2">
      <c r="A67" s="64" t="s">
        <v>109</v>
      </c>
      <c r="B67" s="65" t="s">
        <v>110</v>
      </c>
      <c r="C67" s="59" t="s">
        <v>111</v>
      </c>
      <c r="D67" s="60" t="s">
        <v>109</v>
      </c>
      <c r="E67" s="61">
        <v>10431108.33</v>
      </c>
      <c r="F67" s="61">
        <v>4199692.18</v>
      </c>
      <c r="G67" s="62">
        <f aca="true" t="shared" si="12" ref="G67:G72">F67-E67</f>
        <v>-6231416.15</v>
      </c>
      <c r="H67" s="63">
        <f t="shared" si="10"/>
        <v>0.4026122677608123</v>
      </c>
      <c r="I67" s="61">
        <v>11500000</v>
      </c>
      <c r="J67" s="61">
        <v>605206</v>
      </c>
      <c r="K67" s="61">
        <f>4028755.64+77715.23</f>
        <v>4106470.87</v>
      </c>
      <c r="L67" s="61">
        <f>K67-J67</f>
        <v>3501264.87</v>
      </c>
      <c r="M67" s="63">
        <f t="shared" si="3"/>
        <v>-1.845487401768216</v>
      </c>
      <c r="N67" s="61">
        <f aca="true" t="shared" si="13" ref="N67:N72">K67-I67</f>
        <v>-7393529.13</v>
      </c>
      <c r="O67" s="63">
        <f t="shared" si="0"/>
        <v>0.35708442347826086</v>
      </c>
      <c r="P67" s="61">
        <f t="shared" si="11"/>
        <v>-93221.30999999959</v>
      </c>
      <c r="Q67" s="67"/>
    </row>
    <row r="68" spans="1:17" ht="15" customHeight="1" hidden="1" outlineLevel="3">
      <c r="A68" s="64" t="s">
        <v>112</v>
      </c>
      <c r="B68" s="65"/>
      <c r="C68" s="59" t="s">
        <v>23</v>
      </c>
      <c r="D68" s="60" t="s">
        <v>112</v>
      </c>
      <c r="E68" s="61"/>
      <c r="F68" s="61"/>
      <c r="G68" s="62">
        <f t="shared" si="12"/>
        <v>0</v>
      </c>
      <c r="H68" s="63" t="e">
        <f t="shared" si="10"/>
        <v>#DIV/0!</v>
      </c>
      <c r="I68" s="61"/>
      <c r="J68" s="61"/>
      <c r="K68" s="61"/>
      <c r="L68" s="61">
        <f>I68-G68</f>
        <v>0</v>
      </c>
      <c r="M68" s="63" t="e">
        <f t="shared" si="3"/>
        <v>#DIV/0!</v>
      </c>
      <c r="N68" s="61">
        <f t="shared" si="13"/>
        <v>0</v>
      </c>
      <c r="O68" s="63" t="e">
        <f t="shared" si="0"/>
        <v>#DIV/0!</v>
      </c>
      <c r="P68" s="61">
        <f t="shared" si="11"/>
        <v>0</v>
      </c>
      <c r="Q68" s="68"/>
    </row>
    <row r="69" spans="1:17" ht="114" customHeight="1" hidden="1" outlineLevel="4">
      <c r="A69" s="64" t="s">
        <v>113</v>
      </c>
      <c r="B69" s="65"/>
      <c r="C69" s="59" t="s">
        <v>114</v>
      </c>
      <c r="D69" s="60" t="s">
        <v>113</v>
      </c>
      <c r="E69" s="61"/>
      <c r="F69" s="61"/>
      <c r="G69" s="62">
        <f t="shared" si="12"/>
        <v>0</v>
      </c>
      <c r="H69" s="63" t="e">
        <f t="shared" si="10"/>
        <v>#DIV/0!</v>
      </c>
      <c r="I69" s="61"/>
      <c r="J69" s="61"/>
      <c r="K69" s="61"/>
      <c r="L69" s="61">
        <f>I69-G69</f>
        <v>0</v>
      </c>
      <c r="M69" s="63" t="e">
        <f t="shared" si="3"/>
        <v>#DIV/0!</v>
      </c>
      <c r="N69" s="61">
        <f t="shared" si="13"/>
        <v>0</v>
      </c>
      <c r="O69" s="63" t="e">
        <f t="shared" si="0"/>
        <v>#DIV/0!</v>
      </c>
      <c r="P69" s="61">
        <f t="shared" si="11"/>
        <v>0</v>
      </c>
      <c r="Q69" s="68"/>
    </row>
    <row r="70" spans="1:17" ht="128.25" customHeight="1" hidden="1" outlineLevel="5">
      <c r="A70" s="64" t="s">
        <v>113</v>
      </c>
      <c r="B70" s="65"/>
      <c r="C70" s="59" t="s">
        <v>115</v>
      </c>
      <c r="D70" s="60" t="s">
        <v>113</v>
      </c>
      <c r="E70" s="61"/>
      <c r="F70" s="61"/>
      <c r="G70" s="62">
        <f t="shared" si="12"/>
        <v>0</v>
      </c>
      <c r="H70" s="63" t="e">
        <f t="shared" si="10"/>
        <v>#DIV/0!</v>
      </c>
      <c r="I70" s="61"/>
      <c r="J70" s="61"/>
      <c r="K70" s="61"/>
      <c r="L70" s="61">
        <f>I70-G70</f>
        <v>0</v>
      </c>
      <c r="M70" s="63" t="e">
        <f t="shared" si="3"/>
        <v>#DIV/0!</v>
      </c>
      <c r="N70" s="61">
        <f t="shared" si="13"/>
        <v>0</v>
      </c>
      <c r="O70" s="63" t="e">
        <f t="shared" si="0"/>
        <v>#DIV/0!</v>
      </c>
      <c r="P70" s="61">
        <f t="shared" si="11"/>
        <v>0</v>
      </c>
      <c r="Q70" s="68"/>
    </row>
    <row r="71" spans="1:17" ht="171" customHeight="1" hidden="1" outlineLevel="5">
      <c r="A71" s="64" t="s">
        <v>116</v>
      </c>
      <c r="B71" s="65"/>
      <c r="C71" s="59" t="s">
        <v>117</v>
      </c>
      <c r="D71" s="60" t="s">
        <v>116</v>
      </c>
      <c r="E71" s="61"/>
      <c r="F71" s="61"/>
      <c r="G71" s="62">
        <f t="shared" si="12"/>
        <v>0</v>
      </c>
      <c r="H71" s="63" t="e">
        <f t="shared" si="10"/>
        <v>#DIV/0!</v>
      </c>
      <c r="I71" s="61"/>
      <c r="J71" s="61"/>
      <c r="K71" s="61"/>
      <c r="L71" s="61">
        <f>I71-G71</f>
        <v>0</v>
      </c>
      <c r="M71" s="63" t="e">
        <f t="shared" si="3"/>
        <v>#DIV/0!</v>
      </c>
      <c r="N71" s="61">
        <f t="shared" si="13"/>
        <v>0</v>
      </c>
      <c r="O71" s="63" t="e">
        <f t="shared" si="0"/>
        <v>#DIV/0!</v>
      </c>
      <c r="P71" s="61">
        <f t="shared" si="11"/>
        <v>0</v>
      </c>
      <c r="Q71" s="68"/>
    </row>
    <row r="72" spans="1:17" ht="78.75" customHeight="1" outlineLevel="2" collapsed="1">
      <c r="A72" s="64" t="s">
        <v>118</v>
      </c>
      <c r="B72" s="65" t="s">
        <v>119</v>
      </c>
      <c r="C72" s="59" t="s">
        <v>120</v>
      </c>
      <c r="D72" s="60" t="s">
        <v>118</v>
      </c>
      <c r="E72" s="62">
        <v>105000</v>
      </c>
      <c r="F72" s="62">
        <v>30000</v>
      </c>
      <c r="G72" s="62">
        <f t="shared" si="12"/>
        <v>-75000</v>
      </c>
      <c r="H72" s="63">
        <f t="shared" si="10"/>
        <v>0.2857142857142857</v>
      </c>
      <c r="I72" s="61">
        <v>35000</v>
      </c>
      <c r="J72" s="61"/>
      <c r="K72" s="62">
        <v>5000</v>
      </c>
      <c r="L72" s="61">
        <f>K72-J72</f>
        <v>5000</v>
      </c>
      <c r="M72" s="63">
        <f t="shared" si="3"/>
        <v>-0.4666666666666667</v>
      </c>
      <c r="N72" s="61">
        <f t="shared" si="13"/>
        <v>-30000</v>
      </c>
      <c r="O72" s="63">
        <f t="shared" si="0"/>
        <v>0.14285714285714285</v>
      </c>
      <c r="P72" s="61">
        <f t="shared" si="11"/>
        <v>-25000</v>
      </c>
      <c r="Q72" s="66"/>
    </row>
    <row r="73" spans="1:17" ht="15" customHeight="1" hidden="1" outlineLevel="3">
      <c r="A73" s="64" t="s">
        <v>121</v>
      </c>
      <c r="B73" s="65"/>
      <c r="C73" s="59" t="s">
        <v>23</v>
      </c>
      <c r="D73" s="60" t="s">
        <v>121</v>
      </c>
      <c r="E73" s="61">
        <v>0</v>
      </c>
      <c r="F73" s="61">
        <v>0</v>
      </c>
      <c r="G73" s="62"/>
      <c r="H73" s="63" t="e">
        <f>E73/#REF!</f>
        <v>#REF!</v>
      </c>
      <c r="I73" s="61">
        <v>60000</v>
      </c>
      <c r="J73" s="61"/>
      <c r="K73" s="61">
        <v>0</v>
      </c>
      <c r="L73" s="61"/>
      <c r="M73" s="63" t="e">
        <f t="shared" si="3"/>
        <v>#DIV/0!</v>
      </c>
      <c r="N73" s="61"/>
      <c r="O73" s="63">
        <f t="shared" si="0"/>
        <v>0</v>
      </c>
      <c r="P73" s="61" t="e">
        <f>E73-#REF!</f>
        <v>#REF!</v>
      </c>
      <c r="Q73" s="68"/>
    </row>
    <row r="74" spans="1:17" ht="57" customHeight="1" hidden="1" outlineLevel="4">
      <c r="A74" s="64" t="s">
        <v>122</v>
      </c>
      <c r="B74" s="65"/>
      <c r="C74" s="59" t="s">
        <v>123</v>
      </c>
      <c r="D74" s="60" t="s">
        <v>122</v>
      </c>
      <c r="E74" s="61">
        <v>0</v>
      </c>
      <c r="F74" s="61">
        <v>0</v>
      </c>
      <c r="G74" s="62"/>
      <c r="H74" s="63" t="e">
        <f>E74/#REF!</f>
        <v>#REF!</v>
      </c>
      <c r="I74" s="61">
        <v>60000</v>
      </c>
      <c r="J74" s="61"/>
      <c r="K74" s="61">
        <v>0</v>
      </c>
      <c r="L74" s="61"/>
      <c r="M74" s="63" t="e">
        <f t="shared" si="3"/>
        <v>#DIV/0!</v>
      </c>
      <c r="N74" s="61"/>
      <c r="O74" s="63">
        <f t="shared" si="0"/>
        <v>0</v>
      </c>
      <c r="P74" s="61" t="e">
        <f>E74-#REF!</f>
        <v>#REF!</v>
      </c>
      <c r="Q74" s="68"/>
    </row>
    <row r="75" spans="1:17" ht="71.25" customHeight="1" hidden="1" outlineLevel="5">
      <c r="A75" s="64" t="s">
        <v>122</v>
      </c>
      <c r="B75" s="65"/>
      <c r="C75" s="59" t="s">
        <v>124</v>
      </c>
      <c r="D75" s="60" t="s">
        <v>122</v>
      </c>
      <c r="E75" s="51">
        <v>-23389.69</v>
      </c>
      <c r="F75" s="61">
        <v>0</v>
      </c>
      <c r="G75" s="62"/>
      <c r="H75" s="63" t="e">
        <f>E75/#REF!</f>
        <v>#REF!</v>
      </c>
      <c r="I75" s="61">
        <v>60000</v>
      </c>
      <c r="J75" s="61"/>
      <c r="K75" s="61">
        <v>0</v>
      </c>
      <c r="L75" s="61"/>
      <c r="M75" s="63" t="e">
        <f t="shared" si="3"/>
        <v>#DIV/0!</v>
      </c>
      <c r="N75" s="61"/>
      <c r="O75" s="63">
        <f t="shared" si="0"/>
        <v>0</v>
      </c>
      <c r="P75" s="61" t="e">
        <f>E75-#REF!</f>
        <v>#REF!</v>
      </c>
      <c r="Q75" s="68"/>
    </row>
    <row r="76" spans="1:17" s="32" customFormat="1" ht="83.25" customHeight="1" outlineLevel="1" collapsed="1">
      <c r="A76" s="24" t="s">
        <v>125</v>
      </c>
      <c r="B76" s="48" t="s">
        <v>126</v>
      </c>
      <c r="C76" s="49" t="s">
        <v>127</v>
      </c>
      <c r="D76" s="50" t="s">
        <v>125</v>
      </c>
      <c r="E76" s="51">
        <v>-23389.69</v>
      </c>
      <c r="F76" s="51">
        <v>3014.2</v>
      </c>
      <c r="G76" s="58">
        <f>F76-E76</f>
        <v>26403.89</v>
      </c>
      <c r="H76" s="54">
        <f>F76/E76</f>
        <v>-0.12886874516079522</v>
      </c>
      <c r="I76" s="51"/>
      <c r="J76" s="51"/>
      <c r="K76" s="51">
        <v>942.29</v>
      </c>
      <c r="L76" s="51">
        <f>K76-J76</f>
        <v>942.29</v>
      </c>
      <c r="M76" s="54"/>
      <c r="N76" s="51"/>
      <c r="O76" s="54"/>
      <c r="P76" s="51">
        <f>K76-F76</f>
        <v>-2071.91</v>
      </c>
      <c r="Q76" s="56"/>
    </row>
    <row r="77" spans="1:17" s="32" customFormat="1" ht="15.75" customHeight="1" hidden="1" outlineLevel="3">
      <c r="A77" s="24" t="s">
        <v>128</v>
      </c>
      <c r="B77" s="48"/>
      <c r="C77" s="49" t="s">
        <v>23</v>
      </c>
      <c r="D77" s="50" t="s">
        <v>128</v>
      </c>
      <c r="E77" s="51">
        <v>78.92</v>
      </c>
      <c r="F77" s="51">
        <v>78.92</v>
      </c>
      <c r="G77" s="58"/>
      <c r="H77" s="54" t="e">
        <f>E77/#REF!</f>
        <v>#REF!</v>
      </c>
      <c r="I77" s="51">
        <v>0</v>
      </c>
      <c r="J77" s="51"/>
      <c r="K77" s="51">
        <v>78.92</v>
      </c>
      <c r="L77" s="51"/>
      <c r="M77" s="54" t="e">
        <f>I77/G77</f>
        <v>#DIV/0!</v>
      </c>
      <c r="N77" s="51"/>
      <c r="O77" s="54" t="e">
        <f t="shared" si="0"/>
        <v>#DIV/0!</v>
      </c>
      <c r="P77" s="51" t="e">
        <f>E77-#REF!</f>
        <v>#REF!</v>
      </c>
      <c r="Q77" s="69"/>
    </row>
    <row r="78" spans="1:17" s="32" customFormat="1" ht="180" customHeight="1" hidden="1" outlineLevel="4">
      <c r="A78" s="24" t="s">
        <v>129</v>
      </c>
      <c r="B78" s="48"/>
      <c r="C78" s="49" t="s">
        <v>130</v>
      </c>
      <c r="D78" s="50" t="s">
        <v>129</v>
      </c>
      <c r="E78" s="51">
        <v>78.92</v>
      </c>
      <c r="F78" s="51">
        <v>78.92</v>
      </c>
      <c r="G78" s="58"/>
      <c r="H78" s="54" t="e">
        <f>E78/#REF!</f>
        <v>#REF!</v>
      </c>
      <c r="I78" s="51">
        <v>0</v>
      </c>
      <c r="J78" s="51"/>
      <c r="K78" s="51">
        <v>78.92</v>
      </c>
      <c r="L78" s="51"/>
      <c r="M78" s="54" t="e">
        <f>I78/G78</f>
        <v>#DIV/0!</v>
      </c>
      <c r="N78" s="51"/>
      <c r="O78" s="54" t="e">
        <f t="shared" si="0"/>
        <v>#DIV/0!</v>
      </c>
      <c r="P78" s="51" t="e">
        <f>E78-#REF!</f>
        <v>#REF!</v>
      </c>
      <c r="Q78" s="69"/>
    </row>
    <row r="79" spans="1:17" s="32" customFormat="1" ht="180" customHeight="1" hidden="1" outlineLevel="5">
      <c r="A79" s="24" t="s">
        <v>131</v>
      </c>
      <c r="B79" s="48"/>
      <c r="C79" s="49" t="s">
        <v>132</v>
      </c>
      <c r="D79" s="50" t="s">
        <v>131</v>
      </c>
      <c r="E79" s="72">
        <f>E80+E89+E105+E108+E111+E112</f>
        <v>106887173.90000002</v>
      </c>
      <c r="F79" s="51">
        <v>78.92</v>
      </c>
      <c r="G79" s="58"/>
      <c r="H79" s="54" t="e">
        <f>E79/#REF!</f>
        <v>#REF!</v>
      </c>
      <c r="I79" s="51">
        <v>0</v>
      </c>
      <c r="J79" s="51"/>
      <c r="K79" s="51">
        <v>78.92</v>
      </c>
      <c r="L79" s="51"/>
      <c r="M79" s="54" t="e">
        <f>I79/G79</f>
        <v>#DIV/0!</v>
      </c>
      <c r="N79" s="51"/>
      <c r="O79" s="54" t="e">
        <f>K79/I79</f>
        <v>#DIV/0!</v>
      </c>
      <c r="P79" s="51" t="e">
        <f>E79-#REF!</f>
        <v>#REF!</v>
      </c>
      <c r="Q79" s="69"/>
    </row>
    <row r="80" spans="1:17" s="32" customFormat="1" ht="39" customHeight="1" outlineLevel="5">
      <c r="A80" s="24"/>
      <c r="B80" s="48" t="s">
        <v>133</v>
      </c>
      <c r="C80" s="70" t="s">
        <v>134</v>
      </c>
      <c r="D80" s="71"/>
      <c r="E80" s="72">
        <f>E81+E90+E106+E109+E112+E113</f>
        <v>73494552.89</v>
      </c>
      <c r="F80" s="72">
        <f>F81+F90+F106+F109+F112+F113</f>
        <v>26367022.32</v>
      </c>
      <c r="G80" s="72">
        <f>G81+G90+G106+G109+G112+G113</f>
        <v>-47112894.43</v>
      </c>
      <c r="H80" s="72">
        <f>F80/E80</f>
        <v>0.3587615854941491</v>
      </c>
      <c r="I80" s="72">
        <f>I81+I90+I106+I109+I112+I113</f>
        <v>89296262.56</v>
      </c>
      <c r="J80" s="72">
        <f>J81+J90+J106+J109+J112+J113</f>
        <v>2230316.48</v>
      </c>
      <c r="K80" s="72">
        <f>K81+K90+K106+K109+K112+K113</f>
        <v>68499090.19</v>
      </c>
      <c r="L80" s="72">
        <f>K80-J80</f>
        <v>66268773.71</v>
      </c>
      <c r="M80" s="72" t="e">
        <f>M81+M90+M106+M109+M112+M113</f>
        <v>#DIV/0!</v>
      </c>
      <c r="N80" s="72">
        <f>N81+N90+N106+N109+N112+N113</f>
        <v>-20797172.369999997</v>
      </c>
      <c r="O80" s="156">
        <f aca="true" t="shared" si="14" ref="O80:O127">K80/I80</f>
        <v>0.7670991845148507</v>
      </c>
      <c r="P80" s="72">
        <f>K80-F80</f>
        <v>42132067.87</v>
      </c>
      <c r="Q80" s="56"/>
    </row>
    <row r="81" spans="1:17" s="32" customFormat="1" ht="72" customHeight="1" outlineLevel="1">
      <c r="A81" s="24" t="s">
        <v>135</v>
      </c>
      <c r="B81" s="48" t="s">
        <v>136</v>
      </c>
      <c r="C81" s="49" t="s">
        <v>137</v>
      </c>
      <c r="D81" s="50" t="s">
        <v>135</v>
      </c>
      <c r="E81" s="51">
        <f>E82+E83+E84+E85+E89</f>
        <v>37416244.75</v>
      </c>
      <c r="F81" s="51">
        <f>F82+F83+F84+F85+F89</f>
        <v>12422191.39</v>
      </c>
      <c r="G81" s="58">
        <f>G82+G83+G85+G89</f>
        <v>-24964813.22</v>
      </c>
      <c r="H81" s="54">
        <f>F81/E81</f>
        <v>0.33199995010188726</v>
      </c>
      <c r="I81" s="51">
        <f>I82+I83+I84+I85+I89</f>
        <v>26290475.19</v>
      </c>
      <c r="J81" s="51">
        <f>J82+J83+J84+J85+J89</f>
        <v>859800</v>
      </c>
      <c r="K81" s="51">
        <f>K82+K83+K84+K85+K89</f>
        <v>10305786.32</v>
      </c>
      <c r="L81" s="51">
        <f>K81-J81</f>
        <v>9445986.32</v>
      </c>
      <c r="M81" s="54">
        <f>I81/G81</f>
        <v>-1.0531012172339418</v>
      </c>
      <c r="N81" s="51">
        <f>N82+N83+N84+N85+N89</f>
        <v>-15984688.87</v>
      </c>
      <c r="O81" s="54">
        <f t="shared" si="14"/>
        <v>0.39199695880430374</v>
      </c>
      <c r="P81" s="51">
        <f>K81-F81</f>
        <v>-2116405.0700000003</v>
      </c>
      <c r="Q81" s="56"/>
    </row>
    <row r="82" spans="1:17" ht="66.75" customHeight="1" outlineLevel="4">
      <c r="A82" s="64" t="s">
        <v>138</v>
      </c>
      <c r="B82" s="65" t="s">
        <v>139</v>
      </c>
      <c r="C82" s="59" t="s">
        <v>140</v>
      </c>
      <c r="D82" s="60" t="s">
        <v>138</v>
      </c>
      <c r="E82" s="61">
        <v>24363527.29</v>
      </c>
      <c r="F82" s="61">
        <v>5047582.82</v>
      </c>
      <c r="G82" s="62">
        <f>F82-E82</f>
        <v>-19315944.47</v>
      </c>
      <c r="H82" s="63">
        <f>F82/E82</f>
        <v>0.20717783430610964</v>
      </c>
      <c r="I82" s="61">
        <v>15000000</v>
      </c>
      <c r="J82" s="61">
        <v>350000</v>
      </c>
      <c r="K82" s="61">
        <f>5374610.83+6400.03</f>
        <v>5381010.86</v>
      </c>
      <c r="L82" s="61">
        <f>K82-J82</f>
        <v>5031010.86</v>
      </c>
      <c r="M82" s="63">
        <f>I82/G82</f>
        <v>-0.7765605261133783</v>
      </c>
      <c r="N82" s="61">
        <f>K82-I82</f>
        <v>-9618989.14</v>
      </c>
      <c r="O82" s="63">
        <f t="shared" si="14"/>
        <v>0.35873405733333336</v>
      </c>
      <c r="P82" s="61">
        <f>K82-F82</f>
        <v>333428.04000000004</v>
      </c>
      <c r="Q82" s="66" t="s">
        <v>268</v>
      </c>
    </row>
    <row r="83" spans="1:17" ht="61.5" customHeight="1" outlineLevel="4">
      <c r="A83" s="64" t="s">
        <v>141</v>
      </c>
      <c r="B83" s="65" t="s">
        <v>142</v>
      </c>
      <c r="C83" s="59" t="s">
        <v>143</v>
      </c>
      <c r="D83" s="60" t="s">
        <v>141</v>
      </c>
      <c r="E83" s="61">
        <v>977974.72</v>
      </c>
      <c r="F83" s="61">
        <v>392700.19</v>
      </c>
      <c r="G83" s="62">
        <f aca="true" t="shared" si="15" ref="G83:G89">F83-E83</f>
        <v>-585274.53</v>
      </c>
      <c r="H83" s="63">
        <f aca="true" t="shared" si="16" ref="H83:H89">F83/E83</f>
        <v>0.40154431599213525</v>
      </c>
      <c r="I83" s="61">
        <v>987235.05</v>
      </c>
      <c r="J83" s="61">
        <v>109800</v>
      </c>
      <c r="K83" s="61">
        <f>457051.35+4600</f>
        <v>461651.35</v>
      </c>
      <c r="L83" s="61">
        <f aca="true" t="shared" si="17" ref="L83:L89">K83-J83</f>
        <v>351851.35</v>
      </c>
      <c r="M83" s="63">
        <f>I83/G83</f>
        <v>-1.6867897019198836</v>
      </c>
      <c r="N83" s="61">
        <f aca="true" t="shared" si="18" ref="N83:N89">K83-I83</f>
        <v>-525583.7000000001</v>
      </c>
      <c r="O83" s="63">
        <f t="shared" si="14"/>
        <v>0.46762050233123303</v>
      </c>
      <c r="P83" s="61">
        <f aca="true" t="shared" si="19" ref="P83:P89">K83-F83</f>
        <v>68951.15999999997</v>
      </c>
      <c r="Q83" s="66"/>
    </row>
    <row r="84" spans="1:17" ht="108" customHeight="1" outlineLevel="4">
      <c r="A84" s="64"/>
      <c r="B84" s="65" t="s">
        <v>144</v>
      </c>
      <c r="C84" s="59" t="s">
        <v>145</v>
      </c>
      <c r="D84" s="60" t="s">
        <v>146</v>
      </c>
      <c r="E84" s="61">
        <v>58480.28</v>
      </c>
      <c r="F84" s="61">
        <v>29240.14</v>
      </c>
      <c r="G84" s="62">
        <f t="shared" si="15"/>
        <v>-29240.14</v>
      </c>
      <c r="H84" s="63">
        <f t="shared" si="16"/>
        <v>0.5</v>
      </c>
      <c r="I84" s="61">
        <v>29240.14</v>
      </c>
      <c r="J84" s="61"/>
      <c r="K84" s="61">
        <v>27691.96</v>
      </c>
      <c r="L84" s="61">
        <f t="shared" si="17"/>
        <v>27691.96</v>
      </c>
      <c r="M84" s="63"/>
      <c r="N84" s="61">
        <f t="shared" si="18"/>
        <v>-1548.1800000000003</v>
      </c>
      <c r="O84" s="63"/>
      <c r="P84" s="61"/>
      <c r="Q84" s="73" t="s">
        <v>147</v>
      </c>
    </row>
    <row r="85" spans="1:17" ht="38.25" customHeight="1" outlineLevel="2">
      <c r="A85" s="64" t="s">
        <v>148</v>
      </c>
      <c r="B85" s="65" t="s">
        <v>149</v>
      </c>
      <c r="C85" s="59" t="s">
        <v>150</v>
      </c>
      <c r="D85" s="60" t="s">
        <v>148</v>
      </c>
      <c r="E85" s="62">
        <v>5843542.64</v>
      </c>
      <c r="F85" s="62">
        <v>4317000</v>
      </c>
      <c r="G85" s="62">
        <f t="shared" si="15"/>
        <v>-1526542.6399999997</v>
      </c>
      <c r="H85" s="63">
        <f t="shared" si="16"/>
        <v>0.7387641822700896</v>
      </c>
      <c r="I85" s="61">
        <v>4966000</v>
      </c>
      <c r="J85" s="61"/>
      <c r="K85" s="62">
        <v>2072500</v>
      </c>
      <c r="L85" s="61">
        <f t="shared" si="17"/>
        <v>2072500</v>
      </c>
      <c r="M85" s="63">
        <f aca="true" t="shared" si="20" ref="M85:M112">I85/G85</f>
        <v>-3.253102710580034</v>
      </c>
      <c r="N85" s="61">
        <f t="shared" si="18"/>
        <v>-2893500</v>
      </c>
      <c r="O85" s="63">
        <f t="shared" si="14"/>
        <v>0.41733789770438984</v>
      </c>
      <c r="P85" s="61">
        <f t="shared" si="19"/>
        <v>-2244500</v>
      </c>
      <c r="Q85" s="66" t="s">
        <v>257</v>
      </c>
    </row>
    <row r="86" spans="1:17" ht="15" customHeight="1" hidden="1" outlineLevel="3">
      <c r="A86" s="64" t="s">
        <v>151</v>
      </c>
      <c r="B86" s="65"/>
      <c r="C86" s="59" t="s">
        <v>23</v>
      </c>
      <c r="D86" s="60" t="s">
        <v>151</v>
      </c>
      <c r="E86" s="61"/>
      <c r="F86" s="61"/>
      <c r="G86" s="62">
        <f t="shared" si="15"/>
        <v>0</v>
      </c>
      <c r="H86" s="63" t="e">
        <f t="shared" si="16"/>
        <v>#DIV/0!</v>
      </c>
      <c r="I86" s="61"/>
      <c r="J86" s="61"/>
      <c r="K86" s="61"/>
      <c r="L86" s="61">
        <f t="shared" si="17"/>
        <v>0</v>
      </c>
      <c r="M86" s="63" t="e">
        <f t="shared" si="20"/>
        <v>#DIV/0!</v>
      </c>
      <c r="N86" s="61">
        <f t="shared" si="18"/>
        <v>0</v>
      </c>
      <c r="O86" s="63" t="e">
        <f t="shared" si="14"/>
        <v>#DIV/0!</v>
      </c>
      <c r="P86" s="61">
        <f t="shared" si="19"/>
        <v>0</v>
      </c>
      <c r="Q86" s="68"/>
    </row>
    <row r="87" spans="1:17" ht="128.25" customHeight="1" hidden="1" outlineLevel="4">
      <c r="A87" s="64" t="s">
        <v>152</v>
      </c>
      <c r="B87" s="65"/>
      <c r="C87" s="59" t="s">
        <v>153</v>
      </c>
      <c r="D87" s="60" t="s">
        <v>152</v>
      </c>
      <c r="E87" s="61"/>
      <c r="F87" s="61"/>
      <c r="G87" s="62">
        <f t="shared" si="15"/>
        <v>0</v>
      </c>
      <c r="H87" s="63" t="e">
        <f t="shared" si="16"/>
        <v>#DIV/0!</v>
      </c>
      <c r="I87" s="61"/>
      <c r="J87" s="61"/>
      <c r="K87" s="61"/>
      <c r="L87" s="61">
        <f t="shared" si="17"/>
        <v>0</v>
      </c>
      <c r="M87" s="63" t="e">
        <f t="shared" si="20"/>
        <v>#DIV/0!</v>
      </c>
      <c r="N87" s="61">
        <f t="shared" si="18"/>
        <v>0</v>
      </c>
      <c r="O87" s="63" t="e">
        <f t="shared" si="14"/>
        <v>#DIV/0!</v>
      </c>
      <c r="P87" s="61">
        <f t="shared" si="19"/>
        <v>0</v>
      </c>
      <c r="Q87" s="68"/>
    </row>
    <row r="88" spans="1:17" ht="128.25" customHeight="1" hidden="1" outlineLevel="5">
      <c r="A88" s="64" t="s">
        <v>152</v>
      </c>
      <c r="B88" s="65"/>
      <c r="C88" s="59" t="s">
        <v>154</v>
      </c>
      <c r="D88" s="60" t="s">
        <v>152</v>
      </c>
      <c r="E88" s="61"/>
      <c r="F88" s="61"/>
      <c r="G88" s="62">
        <f t="shared" si="15"/>
        <v>0</v>
      </c>
      <c r="H88" s="63" t="e">
        <f t="shared" si="16"/>
        <v>#DIV/0!</v>
      </c>
      <c r="I88" s="61"/>
      <c r="J88" s="61"/>
      <c r="K88" s="61"/>
      <c r="L88" s="61">
        <f t="shared" si="17"/>
        <v>0</v>
      </c>
      <c r="M88" s="63" t="e">
        <f t="shared" si="20"/>
        <v>#DIV/0!</v>
      </c>
      <c r="N88" s="61">
        <f t="shared" si="18"/>
        <v>0</v>
      </c>
      <c r="O88" s="63" t="e">
        <f t="shared" si="14"/>
        <v>#DIV/0!</v>
      </c>
      <c r="P88" s="61">
        <f t="shared" si="19"/>
        <v>0</v>
      </c>
      <c r="Q88" s="68"/>
    </row>
    <row r="89" spans="1:17" ht="69.75" customHeight="1" outlineLevel="2" collapsed="1">
      <c r="A89" s="64" t="s">
        <v>155</v>
      </c>
      <c r="B89" s="65" t="s">
        <v>156</v>
      </c>
      <c r="C89" s="59" t="s">
        <v>157</v>
      </c>
      <c r="D89" s="60" t="s">
        <v>155</v>
      </c>
      <c r="E89" s="61">
        <v>6172719.82</v>
      </c>
      <c r="F89" s="61">
        <v>2635668.24</v>
      </c>
      <c r="G89" s="62">
        <f t="shared" si="15"/>
        <v>-3537051.58</v>
      </c>
      <c r="H89" s="63">
        <f t="shared" si="16"/>
        <v>0.4269865337902215</v>
      </c>
      <c r="I89" s="61">
        <v>5308000</v>
      </c>
      <c r="J89" s="61">
        <v>400000</v>
      </c>
      <c r="K89" s="61">
        <f>2234734.37+128197.78</f>
        <v>2362932.15</v>
      </c>
      <c r="L89" s="61">
        <f t="shared" si="17"/>
        <v>1962932.15</v>
      </c>
      <c r="M89" s="63">
        <f t="shared" si="20"/>
        <v>-1.500684929225714</v>
      </c>
      <c r="N89" s="61">
        <f t="shared" si="18"/>
        <v>-2945067.85</v>
      </c>
      <c r="O89" s="63">
        <f t="shared" si="14"/>
        <v>0.4451643085908063</v>
      </c>
      <c r="P89" s="61">
        <f t="shared" si="19"/>
        <v>-272736.0900000003</v>
      </c>
      <c r="Q89" s="66"/>
    </row>
    <row r="90" spans="1:17" s="32" customFormat="1" ht="98.25" customHeight="1" outlineLevel="1">
      <c r="A90" s="24" t="s">
        <v>158</v>
      </c>
      <c r="B90" s="48" t="s">
        <v>159</v>
      </c>
      <c r="C90" s="49" t="s">
        <v>160</v>
      </c>
      <c r="D90" s="50" t="s">
        <v>158</v>
      </c>
      <c r="E90" s="51">
        <v>485335.25</v>
      </c>
      <c r="F90" s="51">
        <v>200111.45</v>
      </c>
      <c r="G90" s="58">
        <f>F90-E90</f>
        <v>-285223.8</v>
      </c>
      <c r="H90" s="54">
        <f>F90/E90</f>
        <v>0.41231591976886084</v>
      </c>
      <c r="I90" s="51">
        <v>231800</v>
      </c>
      <c r="J90" s="51">
        <v>0</v>
      </c>
      <c r="K90" s="51">
        <v>63226.52</v>
      </c>
      <c r="L90" s="51">
        <f>K90-J90</f>
        <v>63226.52</v>
      </c>
      <c r="M90" s="54">
        <f t="shared" si="20"/>
        <v>-0.8126951537704779</v>
      </c>
      <c r="N90" s="51">
        <f>K90-I90</f>
        <v>-168573.48</v>
      </c>
      <c r="O90" s="54">
        <f t="shared" si="14"/>
        <v>0.2727632441760138</v>
      </c>
      <c r="P90" s="51">
        <f>K90-F90</f>
        <v>-136884.93000000002</v>
      </c>
      <c r="Q90" s="74"/>
    </row>
    <row r="91" spans="1:17" s="32" customFormat="1" ht="15.75" customHeight="1" hidden="1" outlineLevel="3">
      <c r="A91" s="24" t="s">
        <v>161</v>
      </c>
      <c r="B91" s="48"/>
      <c r="C91" s="49" t="s">
        <v>23</v>
      </c>
      <c r="D91" s="50" t="s">
        <v>161</v>
      </c>
      <c r="E91" s="51">
        <v>2890.68</v>
      </c>
      <c r="F91" s="51">
        <v>2890.68</v>
      </c>
      <c r="G91" s="58"/>
      <c r="H91" s="54">
        <f aca="true" t="shared" si="21" ref="H91:H130">F91/E91</f>
        <v>1</v>
      </c>
      <c r="I91" s="51">
        <v>33800</v>
      </c>
      <c r="J91" s="51"/>
      <c r="K91" s="51">
        <v>2890.68</v>
      </c>
      <c r="L91" s="51">
        <f aca="true" t="shared" si="22" ref="L91:L120">K91-J91</f>
        <v>2890.68</v>
      </c>
      <c r="M91" s="54" t="e">
        <f t="shared" si="20"/>
        <v>#DIV/0!</v>
      </c>
      <c r="N91" s="51">
        <f aca="true" t="shared" si="23" ref="N91:N106">K91-I91</f>
        <v>-30909.32</v>
      </c>
      <c r="O91" s="54">
        <f t="shared" si="14"/>
        <v>0.08552307692307692</v>
      </c>
      <c r="P91" s="51">
        <f aca="true" t="shared" si="24" ref="P91:P130">K91-F91</f>
        <v>0</v>
      </c>
      <c r="Q91" s="69"/>
    </row>
    <row r="92" spans="1:17" s="32" customFormat="1" ht="90" customHeight="1" hidden="1" outlineLevel="4">
      <c r="A92" s="24" t="s">
        <v>162</v>
      </c>
      <c r="B92" s="48"/>
      <c r="C92" s="49" t="s">
        <v>163</v>
      </c>
      <c r="D92" s="50" t="s">
        <v>162</v>
      </c>
      <c r="E92" s="51">
        <v>0</v>
      </c>
      <c r="F92" s="51">
        <v>2890.68</v>
      </c>
      <c r="G92" s="58"/>
      <c r="H92" s="54" t="e">
        <f t="shared" si="21"/>
        <v>#DIV/0!</v>
      </c>
      <c r="I92" s="51">
        <v>33800</v>
      </c>
      <c r="J92" s="51"/>
      <c r="K92" s="51">
        <v>2890.68</v>
      </c>
      <c r="L92" s="51">
        <f t="shared" si="22"/>
        <v>2890.68</v>
      </c>
      <c r="M92" s="54" t="e">
        <f t="shared" si="20"/>
        <v>#DIV/0!</v>
      </c>
      <c r="N92" s="51">
        <f t="shared" si="23"/>
        <v>-30909.32</v>
      </c>
      <c r="O92" s="54">
        <f t="shared" si="14"/>
        <v>0.08552307692307692</v>
      </c>
      <c r="P92" s="51">
        <f t="shared" si="24"/>
        <v>0</v>
      </c>
      <c r="Q92" s="69"/>
    </row>
    <row r="93" spans="1:17" s="32" customFormat="1" ht="90" customHeight="1" hidden="1" outlineLevel="5">
      <c r="A93" s="24" t="s">
        <v>162</v>
      </c>
      <c r="B93" s="48"/>
      <c r="C93" s="49" t="s">
        <v>164</v>
      </c>
      <c r="D93" s="50" t="s">
        <v>162</v>
      </c>
      <c r="E93" s="51">
        <v>2890.68</v>
      </c>
      <c r="F93" s="51">
        <v>0</v>
      </c>
      <c r="G93" s="58"/>
      <c r="H93" s="54">
        <f t="shared" si="21"/>
        <v>0</v>
      </c>
      <c r="I93" s="51">
        <v>33800</v>
      </c>
      <c r="J93" s="51"/>
      <c r="K93" s="51">
        <v>0</v>
      </c>
      <c r="L93" s="51">
        <f t="shared" si="22"/>
        <v>0</v>
      </c>
      <c r="M93" s="54" t="e">
        <f t="shared" si="20"/>
        <v>#DIV/0!</v>
      </c>
      <c r="N93" s="51">
        <f t="shared" si="23"/>
        <v>-33800</v>
      </c>
      <c r="O93" s="54">
        <f t="shared" si="14"/>
        <v>0</v>
      </c>
      <c r="P93" s="51">
        <f t="shared" si="24"/>
        <v>0</v>
      </c>
      <c r="Q93" s="69"/>
    </row>
    <row r="94" spans="1:17" s="32" customFormat="1" ht="90" customHeight="1" hidden="1" outlineLevel="5">
      <c r="A94" s="24" t="s">
        <v>165</v>
      </c>
      <c r="B94" s="48"/>
      <c r="C94" s="49" t="s">
        <v>164</v>
      </c>
      <c r="D94" s="50" t="s">
        <v>165</v>
      </c>
      <c r="E94" s="51">
        <v>53.23</v>
      </c>
      <c r="F94" s="51">
        <v>2890.68</v>
      </c>
      <c r="G94" s="58"/>
      <c r="H94" s="54">
        <f t="shared" si="21"/>
        <v>54.30546684200639</v>
      </c>
      <c r="I94" s="51">
        <v>0</v>
      </c>
      <c r="J94" s="51"/>
      <c r="K94" s="51">
        <v>2890.68</v>
      </c>
      <c r="L94" s="51">
        <f t="shared" si="22"/>
        <v>2890.68</v>
      </c>
      <c r="M94" s="54" t="e">
        <f t="shared" si="20"/>
        <v>#DIV/0!</v>
      </c>
      <c r="N94" s="51">
        <f t="shared" si="23"/>
        <v>2890.68</v>
      </c>
      <c r="O94" s="54" t="e">
        <f t="shared" si="14"/>
        <v>#DIV/0!</v>
      </c>
      <c r="P94" s="51">
        <f t="shared" si="24"/>
        <v>0</v>
      </c>
      <c r="Q94" s="69"/>
    </row>
    <row r="95" spans="1:17" s="32" customFormat="1" ht="15.75" customHeight="1" hidden="1" outlineLevel="3">
      <c r="A95" s="24" t="s">
        <v>166</v>
      </c>
      <c r="B95" s="48"/>
      <c r="C95" s="49" t="s">
        <v>23</v>
      </c>
      <c r="D95" s="50" t="s">
        <v>166</v>
      </c>
      <c r="E95" s="51">
        <v>53.23</v>
      </c>
      <c r="F95" s="51">
        <v>53.23</v>
      </c>
      <c r="G95" s="58"/>
      <c r="H95" s="54">
        <f t="shared" si="21"/>
        <v>1</v>
      </c>
      <c r="I95" s="51">
        <v>0</v>
      </c>
      <c r="J95" s="51"/>
      <c r="K95" s="51">
        <v>53.23</v>
      </c>
      <c r="L95" s="51">
        <f t="shared" si="22"/>
        <v>53.23</v>
      </c>
      <c r="M95" s="54" t="e">
        <f t="shared" si="20"/>
        <v>#DIV/0!</v>
      </c>
      <c r="N95" s="51">
        <f t="shared" si="23"/>
        <v>53.23</v>
      </c>
      <c r="O95" s="54" t="e">
        <f t="shared" si="14"/>
        <v>#DIV/0!</v>
      </c>
      <c r="P95" s="51">
        <f t="shared" si="24"/>
        <v>0</v>
      </c>
      <c r="Q95" s="69"/>
    </row>
    <row r="96" spans="1:17" s="32" customFormat="1" ht="90" customHeight="1" hidden="1" outlineLevel="4">
      <c r="A96" s="24" t="s">
        <v>167</v>
      </c>
      <c r="B96" s="48"/>
      <c r="C96" s="49" t="s">
        <v>168</v>
      </c>
      <c r="D96" s="50" t="s">
        <v>167</v>
      </c>
      <c r="E96" s="51">
        <v>53.23</v>
      </c>
      <c r="F96" s="51">
        <v>53.23</v>
      </c>
      <c r="G96" s="58"/>
      <c r="H96" s="54">
        <f t="shared" si="21"/>
        <v>1</v>
      </c>
      <c r="I96" s="51">
        <v>0</v>
      </c>
      <c r="J96" s="51"/>
      <c r="K96" s="51">
        <v>53.23</v>
      </c>
      <c r="L96" s="51">
        <f t="shared" si="22"/>
        <v>53.23</v>
      </c>
      <c r="M96" s="54" t="e">
        <f t="shared" si="20"/>
        <v>#DIV/0!</v>
      </c>
      <c r="N96" s="51">
        <f t="shared" si="23"/>
        <v>53.23</v>
      </c>
      <c r="O96" s="54" t="e">
        <f t="shared" si="14"/>
        <v>#DIV/0!</v>
      </c>
      <c r="P96" s="51">
        <f t="shared" si="24"/>
        <v>0</v>
      </c>
      <c r="Q96" s="69"/>
    </row>
    <row r="97" spans="1:17" s="32" customFormat="1" ht="90" customHeight="1" hidden="1" outlineLevel="5">
      <c r="A97" s="24" t="s">
        <v>169</v>
      </c>
      <c r="B97" s="48"/>
      <c r="C97" s="49" t="s">
        <v>170</v>
      </c>
      <c r="D97" s="50" t="s">
        <v>169</v>
      </c>
      <c r="E97" s="51">
        <v>481.81</v>
      </c>
      <c r="F97" s="51">
        <v>53.23</v>
      </c>
      <c r="G97" s="58"/>
      <c r="H97" s="54">
        <f t="shared" si="21"/>
        <v>0.11047923455303957</v>
      </c>
      <c r="I97" s="51">
        <v>0</v>
      </c>
      <c r="J97" s="51"/>
      <c r="K97" s="51">
        <v>53.23</v>
      </c>
      <c r="L97" s="51">
        <f t="shared" si="22"/>
        <v>53.23</v>
      </c>
      <c r="M97" s="54" t="e">
        <f t="shared" si="20"/>
        <v>#DIV/0!</v>
      </c>
      <c r="N97" s="51">
        <f t="shared" si="23"/>
        <v>53.23</v>
      </c>
      <c r="O97" s="54" t="e">
        <f t="shared" si="14"/>
        <v>#DIV/0!</v>
      </c>
      <c r="P97" s="51">
        <f t="shared" si="24"/>
        <v>0</v>
      </c>
      <c r="Q97" s="69"/>
    </row>
    <row r="98" spans="1:17" s="32" customFormat="1" ht="15.75" customHeight="1" hidden="1" outlineLevel="3">
      <c r="A98" s="24" t="s">
        <v>171</v>
      </c>
      <c r="B98" s="48"/>
      <c r="C98" s="49" t="s">
        <v>23</v>
      </c>
      <c r="D98" s="50" t="s">
        <v>171</v>
      </c>
      <c r="E98" s="51">
        <v>481.81</v>
      </c>
      <c r="F98" s="51">
        <v>481.81</v>
      </c>
      <c r="G98" s="58"/>
      <c r="H98" s="54">
        <f t="shared" si="21"/>
        <v>1</v>
      </c>
      <c r="I98" s="51">
        <v>59400</v>
      </c>
      <c r="J98" s="51"/>
      <c r="K98" s="51">
        <v>481.81</v>
      </c>
      <c r="L98" s="51">
        <f t="shared" si="22"/>
        <v>481.81</v>
      </c>
      <c r="M98" s="54" t="e">
        <f t="shared" si="20"/>
        <v>#DIV/0!</v>
      </c>
      <c r="N98" s="51">
        <f t="shared" si="23"/>
        <v>-58918.19</v>
      </c>
      <c r="O98" s="54">
        <f t="shared" si="14"/>
        <v>0.008111279461279462</v>
      </c>
      <c r="P98" s="51">
        <f t="shared" si="24"/>
        <v>0</v>
      </c>
      <c r="Q98" s="69"/>
    </row>
    <row r="99" spans="1:17" s="32" customFormat="1" ht="45" customHeight="1" hidden="1" outlineLevel="4">
      <c r="A99" s="24" t="s">
        <v>172</v>
      </c>
      <c r="B99" s="48"/>
      <c r="C99" s="49" t="s">
        <v>173</v>
      </c>
      <c r="D99" s="50" t="s">
        <v>172</v>
      </c>
      <c r="E99" s="51">
        <v>0</v>
      </c>
      <c r="F99" s="51">
        <v>481.81</v>
      </c>
      <c r="G99" s="58"/>
      <c r="H99" s="54" t="e">
        <f t="shared" si="21"/>
        <v>#DIV/0!</v>
      </c>
      <c r="I99" s="51">
        <v>59400</v>
      </c>
      <c r="J99" s="51"/>
      <c r="K99" s="51">
        <v>481.81</v>
      </c>
      <c r="L99" s="51">
        <f t="shared" si="22"/>
        <v>481.81</v>
      </c>
      <c r="M99" s="54" t="e">
        <f t="shared" si="20"/>
        <v>#DIV/0!</v>
      </c>
      <c r="N99" s="51">
        <f t="shared" si="23"/>
        <v>-58918.19</v>
      </c>
      <c r="O99" s="54">
        <f t="shared" si="14"/>
        <v>0.008111279461279462</v>
      </c>
      <c r="P99" s="51">
        <f t="shared" si="24"/>
        <v>0</v>
      </c>
      <c r="Q99" s="69"/>
    </row>
    <row r="100" spans="1:17" s="32" customFormat="1" ht="60" customHeight="1" hidden="1" outlineLevel="5">
      <c r="A100" s="24" t="s">
        <v>172</v>
      </c>
      <c r="B100" s="48"/>
      <c r="C100" s="49" t="s">
        <v>174</v>
      </c>
      <c r="D100" s="50" t="s">
        <v>172</v>
      </c>
      <c r="E100" s="51">
        <v>481.81</v>
      </c>
      <c r="F100" s="51">
        <v>0</v>
      </c>
      <c r="G100" s="58"/>
      <c r="H100" s="54">
        <f t="shared" si="21"/>
        <v>0</v>
      </c>
      <c r="I100" s="51">
        <v>59400</v>
      </c>
      <c r="J100" s="51"/>
      <c r="K100" s="51">
        <v>0</v>
      </c>
      <c r="L100" s="51">
        <f t="shared" si="22"/>
        <v>0</v>
      </c>
      <c r="M100" s="54" t="e">
        <f t="shared" si="20"/>
        <v>#DIV/0!</v>
      </c>
      <c r="N100" s="51">
        <f t="shared" si="23"/>
        <v>-59400</v>
      </c>
      <c r="O100" s="54">
        <f t="shared" si="14"/>
        <v>0</v>
      </c>
      <c r="P100" s="51">
        <f t="shared" si="24"/>
        <v>0</v>
      </c>
      <c r="Q100" s="69"/>
    </row>
    <row r="101" spans="1:17" s="32" customFormat="1" ht="60" customHeight="1" hidden="1" outlineLevel="5">
      <c r="A101" s="24" t="s">
        <v>175</v>
      </c>
      <c r="B101" s="48"/>
      <c r="C101" s="49" t="s">
        <v>176</v>
      </c>
      <c r="D101" s="50" t="s">
        <v>175</v>
      </c>
      <c r="E101" s="51">
        <v>39261.54</v>
      </c>
      <c r="F101" s="51">
        <v>481.81</v>
      </c>
      <c r="G101" s="58"/>
      <c r="H101" s="54">
        <f t="shared" si="21"/>
        <v>0.01227180594546215</v>
      </c>
      <c r="I101" s="51">
        <v>0</v>
      </c>
      <c r="J101" s="51"/>
      <c r="K101" s="51">
        <v>481.81</v>
      </c>
      <c r="L101" s="51">
        <f t="shared" si="22"/>
        <v>481.81</v>
      </c>
      <c r="M101" s="54" t="e">
        <f t="shared" si="20"/>
        <v>#DIV/0!</v>
      </c>
      <c r="N101" s="51">
        <f t="shared" si="23"/>
        <v>481.81</v>
      </c>
      <c r="O101" s="54" t="e">
        <f t="shared" si="14"/>
        <v>#DIV/0!</v>
      </c>
      <c r="P101" s="51">
        <f t="shared" si="24"/>
        <v>0</v>
      </c>
      <c r="Q101" s="69"/>
    </row>
    <row r="102" spans="1:17" s="32" customFormat="1" ht="15.75" customHeight="1" hidden="1" outlineLevel="3">
      <c r="A102" s="24" t="s">
        <v>177</v>
      </c>
      <c r="B102" s="48"/>
      <c r="C102" s="49" t="s">
        <v>23</v>
      </c>
      <c r="D102" s="50" t="s">
        <v>177</v>
      </c>
      <c r="E102" s="51">
        <v>39261.54</v>
      </c>
      <c r="F102" s="51">
        <v>39261.54</v>
      </c>
      <c r="G102" s="58"/>
      <c r="H102" s="54">
        <f t="shared" si="21"/>
        <v>1</v>
      </c>
      <c r="I102" s="51">
        <v>464900</v>
      </c>
      <c r="J102" s="51"/>
      <c r="K102" s="51">
        <v>39261.54</v>
      </c>
      <c r="L102" s="51">
        <f t="shared" si="22"/>
        <v>39261.54</v>
      </c>
      <c r="M102" s="54" t="e">
        <f t="shared" si="20"/>
        <v>#DIV/0!</v>
      </c>
      <c r="N102" s="51">
        <f t="shared" si="23"/>
        <v>-425638.46</v>
      </c>
      <c r="O102" s="54">
        <f t="shared" si="14"/>
        <v>0.0844515809851581</v>
      </c>
      <c r="P102" s="51">
        <f t="shared" si="24"/>
        <v>0</v>
      </c>
      <c r="Q102" s="69"/>
    </row>
    <row r="103" spans="1:17" s="32" customFormat="1" ht="60" customHeight="1" hidden="1" outlineLevel="4">
      <c r="A103" s="24" t="s">
        <v>178</v>
      </c>
      <c r="B103" s="48"/>
      <c r="C103" s="49" t="s">
        <v>179</v>
      </c>
      <c r="D103" s="50" t="s">
        <v>178</v>
      </c>
      <c r="E103" s="51">
        <v>0</v>
      </c>
      <c r="F103" s="51">
        <v>39261.54</v>
      </c>
      <c r="G103" s="58"/>
      <c r="H103" s="54" t="e">
        <f t="shared" si="21"/>
        <v>#DIV/0!</v>
      </c>
      <c r="I103" s="51">
        <v>464900</v>
      </c>
      <c r="J103" s="51"/>
      <c r="K103" s="51">
        <v>39261.54</v>
      </c>
      <c r="L103" s="51">
        <f t="shared" si="22"/>
        <v>39261.54</v>
      </c>
      <c r="M103" s="54" t="e">
        <f t="shared" si="20"/>
        <v>#DIV/0!</v>
      </c>
      <c r="N103" s="51">
        <f t="shared" si="23"/>
        <v>-425638.46</v>
      </c>
      <c r="O103" s="54">
        <f t="shared" si="14"/>
        <v>0.0844515809851581</v>
      </c>
      <c r="P103" s="51">
        <f t="shared" si="24"/>
        <v>0</v>
      </c>
      <c r="Q103" s="69"/>
    </row>
    <row r="104" spans="1:17" s="32" customFormat="1" ht="60" customHeight="1" hidden="1" outlineLevel="5">
      <c r="A104" s="24" t="s">
        <v>178</v>
      </c>
      <c r="B104" s="48"/>
      <c r="C104" s="49" t="s">
        <v>180</v>
      </c>
      <c r="D104" s="50" t="s">
        <v>178</v>
      </c>
      <c r="E104" s="51">
        <v>39261.54</v>
      </c>
      <c r="F104" s="51">
        <v>0</v>
      </c>
      <c r="G104" s="58"/>
      <c r="H104" s="54">
        <f t="shared" si="21"/>
        <v>0</v>
      </c>
      <c r="I104" s="51">
        <v>464900</v>
      </c>
      <c r="J104" s="51"/>
      <c r="K104" s="51">
        <v>0</v>
      </c>
      <c r="L104" s="51">
        <f t="shared" si="22"/>
        <v>0</v>
      </c>
      <c r="M104" s="54" t="e">
        <f t="shared" si="20"/>
        <v>#DIV/0!</v>
      </c>
      <c r="N104" s="51">
        <f t="shared" si="23"/>
        <v>-464900</v>
      </c>
      <c r="O104" s="54">
        <f t="shared" si="14"/>
        <v>0</v>
      </c>
      <c r="P104" s="51">
        <f t="shared" si="24"/>
        <v>0</v>
      </c>
      <c r="Q104" s="69"/>
    </row>
    <row r="105" spans="1:17" s="32" customFormat="1" ht="60" customHeight="1" hidden="1" outlineLevel="5">
      <c r="A105" s="24" t="s">
        <v>181</v>
      </c>
      <c r="B105" s="48"/>
      <c r="C105" s="49" t="s">
        <v>182</v>
      </c>
      <c r="D105" s="50" t="s">
        <v>181</v>
      </c>
      <c r="E105" s="51">
        <f>E106+E107</f>
        <v>10003098.77</v>
      </c>
      <c r="F105" s="51">
        <v>39261.54</v>
      </c>
      <c r="G105" s="58"/>
      <c r="H105" s="54">
        <f t="shared" si="21"/>
        <v>0.003924937752064204</v>
      </c>
      <c r="I105" s="51">
        <v>0</v>
      </c>
      <c r="J105" s="51"/>
      <c r="K105" s="51">
        <v>39261.54</v>
      </c>
      <c r="L105" s="51">
        <f t="shared" si="22"/>
        <v>39261.54</v>
      </c>
      <c r="M105" s="54" t="e">
        <f t="shared" si="20"/>
        <v>#DIV/0!</v>
      </c>
      <c r="N105" s="51">
        <f t="shared" si="23"/>
        <v>39261.54</v>
      </c>
      <c r="O105" s="54" t="e">
        <f t="shared" si="14"/>
        <v>#DIV/0!</v>
      </c>
      <c r="P105" s="51">
        <f t="shared" si="24"/>
        <v>0</v>
      </c>
      <c r="Q105" s="69"/>
    </row>
    <row r="106" spans="1:17" s="32" customFormat="1" ht="78.75" customHeight="1" outlineLevel="1" collapsed="1">
      <c r="A106" s="24" t="s">
        <v>183</v>
      </c>
      <c r="B106" s="48" t="s">
        <v>184</v>
      </c>
      <c r="C106" s="49" t="s">
        <v>185</v>
      </c>
      <c r="D106" s="50" t="s">
        <v>183</v>
      </c>
      <c r="E106" s="51">
        <f>E107+E108</f>
        <v>6949209.46</v>
      </c>
      <c r="F106" s="51">
        <f>F107+F108</f>
        <v>1194281.22</v>
      </c>
      <c r="G106" s="58">
        <f>G107+G108</f>
        <v>-5754928.24</v>
      </c>
      <c r="H106" s="54">
        <f t="shared" si="21"/>
        <v>0.17185857281671288</v>
      </c>
      <c r="I106" s="51">
        <f>I107+I108</f>
        <v>21746234.24</v>
      </c>
      <c r="J106" s="51">
        <f>J107+J108</f>
        <v>217229</v>
      </c>
      <c r="K106" s="51">
        <f>K107+K108</f>
        <v>19599323.61</v>
      </c>
      <c r="L106" s="51">
        <f t="shared" si="22"/>
        <v>19382094.61</v>
      </c>
      <c r="M106" s="54">
        <f t="shared" si="20"/>
        <v>-3.778715100016607</v>
      </c>
      <c r="N106" s="51">
        <f t="shared" si="23"/>
        <v>-2146910.629999999</v>
      </c>
      <c r="O106" s="54">
        <f t="shared" si="14"/>
        <v>0.901274372091009</v>
      </c>
      <c r="P106" s="51">
        <f t="shared" si="24"/>
        <v>18405042.39</v>
      </c>
      <c r="Q106" s="56"/>
    </row>
    <row r="107" spans="1:17" ht="62.25" customHeight="1" outlineLevel="2">
      <c r="A107" s="64" t="s">
        <v>186</v>
      </c>
      <c r="B107" s="65" t="s">
        <v>187</v>
      </c>
      <c r="C107" s="59" t="s">
        <v>188</v>
      </c>
      <c r="D107" s="60" t="s">
        <v>186</v>
      </c>
      <c r="E107" s="61">
        <v>3053889.31</v>
      </c>
      <c r="F107" s="61">
        <v>1178363.76</v>
      </c>
      <c r="G107" s="62">
        <f>F107-E107</f>
        <v>-1875525.55</v>
      </c>
      <c r="H107" s="63">
        <f t="shared" si="21"/>
        <v>0.3858567355867918</v>
      </c>
      <c r="I107" s="61">
        <v>3335156.7</v>
      </c>
      <c r="J107" s="61">
        <v>217229</v>
      </c>
      <c r="K107" s="61">
        <v>1185132.57</v>
      </c>
      <c r="L107" s="61">
        <f t="shared" si="22"/>
        <v>967903.5700000001</v>
      </c>
      <c r="M107" s="63">
        <f t="shared" si="20"/>
        <v>-1.7782518078732652</v>
      </c>
      <c r="N107" s="61">
        <f>K107-I107</f>
        <v>-2150024.13</v>
      </c>
      <c r="O107" s="63">
        <f t="shared" si="14"/>
        <v>0.35534539351629263</v>
      </c>
      <c r="P107" s="61">
        <f t="shared" si="24"/>
        <v>6768.810000000056</v>
      </c>
      <c r="Q107" s="74"/>
    </row>
    <row r="108" spans="1:17" ht="45.75" customHeight="1" outlineLevel="3">
      <c r="A108" s="64" t="s">
        <v>189</v>
      </c>
      <c r="B108" s="65" t="s">
        <v>190</v>
      </c>
      <c r="C108" s="59" t="s">
        <v>191</v>
      </c>
      <c r="D108" s="60" t="s">
        <v>192</v>
      </c>
      <c r="E108" s="62">
        <v>3895320.15</v>
      </c>
      <c r="F108" s="62">
        <v>15917.46</v>
      </c>
      <c r="G108" s="62">
        <f>F108-E108</f>
        <v>-3879402.69</v>
      </c>
      <c r="H108" s="63">
        <f t="shared" si="21"/>
        <v>0.004086303406922792</v>
      </c>
      <c r="I108" s="61">
        <v>18411077.54</v>
      </c>
      <c r="J108" s="61"/>
      <c r="K108" s="62">
        <v>18414191.04</v>
      </c>
      <c r="L108" s="61">
        <f t="shared" si="22"/>
        <v>18414191.04</v>
      </c>
      <c r="M108" s="63">
        <f t="shared" si="20"/>
        <v>-4.745853681923389</v>
      </c>
      <c r="N108" s="61">
        <f>K108-I108</f>
        <v>3113.5</v>
      </c>
      <c r="O108" s="63">
        <f t="shared" si="14"/>
        <v>1.000169110145413</v>
      </c>
      <c r="P108" s="61">
        <f t="shared" si="24"/>
        <v>18398273.58</v>
      </c>
      <c r="Q108" s="66" t="s">
        <v>292</v>
      </c>
    </row>
    <row r="109" spans="1:17" s="32" customFormat="1" ht="75" customHeight="1" outlineLevel="1">
      <c r="A109" s="24" t="s">
        <v>193</v>
      </c>
      <c r="B109" s="48" t="s">
        <v>194</v>
      </c>
      <c r="C109" s="49" t="s">
        <v>195</v>
      </c>
      <c r="D109" s="50" t="s">
        <v>193</v>
      </c>
      <c r="E109" s="51">
        <f>E110+E111</f>
        <v>19228417.560000002</v>
      </c>
      <c r="F109" s="51">
        <f>F110+F111</f>
        <v>7679160.96</v>
      </c>
      <c r="G109" s="58">
        <f>G110+G111</f>
        <v>-11549256.600000001</v>
      </c>
      <c r="H109" s="54">
        <f t="shared" si="21"/>
        <v>0.39936520704515005</v>
      </c>
      <c r="I109" s="51">
        <f>I110+I111</f>
        <v>24221136</v>
      </c>
      <c r="J109" s="51">
        <f>J110+J111</f>
        <v>200000</v>
      </c>
      <c r="K109" s="51">
        <f>K110+K111</f>
        <v>23631965.09</v>
      </c>
      <c r="L109" s="51">
        <f t="shared" si="22"/>
        <v>23431965.09</v>
      </c>
      <c r="M109" s="54">
        <f t="shared" si="20"/>
        <v>-2.097203035561613</v>
      </c>
      <c r="N109" s="51">
        <f>N110+N111</f>
        <v>-589170.9100000001</v>
      </c>
      <c r="O109" s="54">
        <f t="shared" si="14"/>
        <v>0.9756753395051331</v>
      </c>
      <c r="P109" s="51">
        <f t="shared" si="24"/>
        <v>15952804.129999999</v>
      </c>
      <c r="Q109" s="56"/>
    </row>
    <row r="110" spans="1:17" ht="75.75" customHeight="1" outlineLevel="2">
      <c r="A110" s="64" t="s">
        <v>196</v>
      </c>
      <c r="B110" s="65" t="s">
        <v>197</v>
      </c>
      <c r="C110" s="59" t="s">
        <v>198</v>
      </c>
      <c r="D110" s="60" t="s">
        <v>196</v>
      </c>
      <c r="E110" s="61">
        <v>7574993.66</v>
      </c>
      <c r="F110" s="61">
        <v>3225820</v>
      </c>
      <c r="G110" s="62">
        <f aca="true" t="shared" si="25" ref="G110:G130">F110-E110</f>
        <v>-4349173.66</v>
      </c>
      <c r="H110" s="63">
        <f t="shared" si="21"/>
        <v>0.4258511815044872</v>
      </c>
      <c r="I110" s="61">
        <v>18286836</v>
      </c>
      <c r="J110" s="61"/>
      <c r="K110" s="61">
        <v>14730310.99</v>
      </c>
      <c r="L110" s="61">
        <f t="shared" si="22"/>
        <v>14730310.99</v>
      </c>
      <c r="M110" s="63">
        <f t="shared" si="20"/>
        <v>-4.204669077297778</v>
      </c>
      <c r="N110" s="61">
        <f>K110-I110</f>
        <v>-3556525.01</v>
      </c>
      <c r="O110" s="63">
        <f t="shared" si="14"/>
        <v>0.8055144689874181</v>
      </c>
      <c r="P110" s="61">
        <f t="shared" si="24"/>
        <v>11504490.99</v>
      </c>
      <c r="Q110" s="73"/>
    </row>
    <row r="111" spans="1:17" ht="36" customHeight="1" outlineLevel="2">
      <c r="A111" s="64" t="s">
        <v>199</v>
      </c>
      <c r="B111" s="65" t="s">
        <v>200</v>
      </c>
      <c r="C111" s="59" t="s">
        <v>201</v>
      </c>
      <c r="D111" s="60" t="s">
        <v>199</v>
      </c>
      <c r="E111" s="61">
        <v>11653423.9</v>
      </c>
      <c r="F111" s="61">
        <v>4453340.96</v>
      </c>
      <c r="G111" s="62">
        <f t="shared" si="25"/>
        <v>-7200082.94</v>
      </c>
      <c r="H111" s="63">
        <f t="shared" si="21"/>
        <v>0.38214871425041014</v>
      </c>
      <c r="I111" s="61">
        <v>5934300</v>
      </c>
      <c r="J111" s="61">
        <v>200000</v>
      </c>
      <c r="K111" s="61">
        <v>8901654.1</v>
      </c>
      <c r="L111" s="61">
        <f t="shared" si="22"/>
        <v>8701654.1</v>
      </c>
      <c r="M111" s="63">
        <f t="shared" si="20"/>
        <v>-0.824198839020596</v>
      </c>
      <c r="N111" s="61">
        <f>K111-I111</f>
        <v>2967354.0999999996</v>
      </c>
      <c r="O111" s="63">
        <f t="shared" si="14"/>
        <v>1.500034393273006</v>
      </c>
      <c r="P111" s="61">
        <f t="shared" si="24"/>
        <v>4448313.14</v>
      </c>
      <c r="Q111" s="66"/>
    </row>
    <row r="112" spans="1:17" s="32" customFormat="1" ht="106.5" customHeight="1" outlineLevel="1">
      <c r="A112" s="24" t="s">
        <v>202</v>
      </c>
      <c r="B112" s="48" t="s">
        <v>203</v>
      </c>
      <c r="C112" s="49" t="s">
        <v>204</v>
      </c>
      <c r="D112" s="50" t="s">
        <v>202</v>
      </c>
      <c r="E112" s="51">
        <v>1668058.37</v>
      </c>
      <c r="F112" s="51">
        <v>736797.97</v>
      </c>
      <c r="G112" s="58">
        <f t="shared" si="25"/>
        <v>-931260.4000000001</v>
      </c>
      <c r="H112" s="54">
        <f t="shared" si="21"/>
        <v>0.4417099444787414</v>
      </c>
      <c r="I112" s="51">
        <v>3801835.05</v>
      </c>
      <c r="J112" s="51">
        <v>35150</v>
      </c>
      <c r="K112" s="51">
        <f>4201723.4+1319.42</f>
        <v>4203042.82</v>
      </c>
      <c r="L112" s="51">
        <f t="shared" si="22"/>
        <v>4167892.8200000003</v>
      </c>
      <c r="M112" s="54">
        <f t="shared" si="20"/>
        <v>-4.082461844184504</v>
      </c>
      <c r="N112" s="51">
        <f>K112-I112</f>
        <v>401207.7700000005</v>
      </c>
      <c r="O112" s="54">
        <f t="shared" si="14"/>
        <v>1.1055300308202485</v>
      </c>
      <c r="P112" s="51">
        <f t="shared" si="24"/>
        <v>3466244.8500000006</v>
      </c>
      <c r="Q112" s="74" t="s">
        <v>291</v>
      </c>
    </row>
    <row r="113" spans="1:17" s="32" customFormat="1" ht="30.75" customHeight="1" outlineLevel="1">
      <c r="A113" s="24" t="s">
        <v>205</v>
      </c>
      <c r="B113" s="48" t="s">
        <v>206</v>
      </c>
      <c r="C113" s="49" t="s">
        <v>207</v>
      </c>
      <c r="D113" s="50" t="s">
        <v>205</v>
      </c>
      <c r="E113" s="51">
        <f>E114+E115+E116+E117+E118+E119+E120</f>
        <v>7747287.5</v>
      </c>
      <c r="F113" s="51">
        <f>F114+F115+F116+F117+F118+F119+F120</f>
        <v>4134479.33</v>
      </c>
      <c r="G113" s="58">
        <f>G114+G115+G116+G117+G118+G119</f>
        <v>-3627412.17</v>
      </c>
      <c r="H113" s="75">
        <f t="shared" si="21"/>
        <v>0.5336679876666511</v>
      </c>
      <c r="I113" s="51">
        <f>I114+I115+I116+I117+I118+I119+I120</f>
        <v>13004782.08</v>
      </c>
      <c r="J113" s="51">
        <f>J114+J115+J116+J117+J118+J119+J120</f>
        <v>918137.48</v>
      </c>
      <c r="K113" s="51">
        <f>K114+K115+K116+K117+K118+K119+K120</f>
        <v>10695745.83</v>
      </c>
      <c r="L113" s="51">
        <f>L114+L115+L116+L117+L118+L119+L120</f>
        <v>9777608.35</v>
      </c>
      <c r="M113" s="51" t="e">
        <f>M114+M115+M116+M117+M118+M119+M120</f>
        <v>#DIV/0!</v>
      </c>
      <c r="N113" s="51">
        <f>N114+N115+N116+N117+N118+N119+N120</f>
        <v>-2309036.2499999995</v>
      </c>
      <c r="O113" s="54">
        <f t="shared" si="14"/>
        <v>0.8224471401523092</v>
      </c>
      <c r="P113" s="51">
        <f t="shared" si="24"/>
        <v>6561266.5</v>
      </c>
      <c r="Q113" s="56"/>
    </row>
    <row r="114" spans="1:17" s="4" customFormat="1" ht="72" customHeight="1" outlineLevel="1">
      <c r="A114" s="76"/>
      <c r="B114" s="77" t="s">
        <v>208</v>
      </c>
      <c r="C114" s="59" t="s">
        <v>209</v>
      </c>
      <c r="D114" s="60" t="s">
        <v>210</v>
      </c>
      <c r="E114" s="78">
        <v>0</v>
      </c>
      <c r="F114" s="79"/>
      <c r="G114" s="62"/>
      <c r="H114" s="63"/>
      <c r="I114" s="79"/>
      <c r="J114" s="79"/>
      <c r="K114" s="79"/>
      <c r="L114" s="61">
        <f t="shared" si="22"/>
        <v>0</v>
      </c>
      <c r="M114" s="63"/>
      <c r="N114" s="61">
        <f aca="true" t="shared" si="26" ref="N114:N120">K114-I114</f>
        <v>0</v>
      </c>
      <c r="O114" s="63"/>
      <c r="P114" s="61">
        <f t="shared" si="24"/>
        <v>0</v>
      </c>
      <c r="Q114" s="80"/>
    </row>
    <row r="115" spans="1:17" ht="94.5" customHeight="1" outlineLevel="5">
      <c r="A115" s="64" t="s">
        <v>211</v>
      </c>
      <c r="B115" s="65" t="s">
        <v>212</v>
      </c>
      <c r="C115" s="59" t="s">
        <v>213</v>
      </c>
      <c r="D115" s="60" t="s">
        <v>211</v>
      </c>
      <c r="E115" s="61">
        <v>898909.4</v>
      </c>
      <c r="F115" s="61">
        <v>259013.6</v>
      </c>
      <c r="G115" s="62">
        <f t="shared" si="25"/>
        <v>-639895.8</v>
      </c>
      <c r="H115" s="63">
        <f t="shared" si="21"/>
        <v>0.28814205302558854</v>
      </c>
      <c r="I115" s="61">
        <v>936864.56</v>
      </c>
      <c r="J115" s="61"/>
      <c r="K115" s="61">
        <v>370929.6</v>
      </c>
      <c r="L115" s="61">
        <f t="shared" si="22"/>
        <v>370929.6</v>
      </c>
      <c r="M115" s="63">
        <f>I115/G115</f>
        <v>-1.4640892470305322</v>
      </c>
      <c r="N115" s="61">
        <f t="shared" si="26"/>
        <v>-565934.9600000001</v>
      </c>
      <c r="O115" s="63">
        <f t="shared" si="14"/>
        <v>0.39592660010535563</v>
      </c>
      <c r="P115" s="61">
        <f t="shared" si="24"/>
        <v>111915.99999999997</v>
      </c>
      <c r="Q115" s="66" t="s">
        <v>259</v>
      </c>
    </row>
    <row r="116" spans="1:17" ht="61.5" customHeight="1" outlineLevel="5">
      <c r="A116" s="64" t="s">
        <v>214</v>
      </c>
      <c r="B116" s="65" t="s">
        <v>215</v>
      </c>
      <c r="C116" s="59" t="s">
        <v>216</v>
      </c>
      <c r="D116" s="60" t="s">
        <v>214</v>
      </c>
      <c r="E116" s="61">
        <v>91219.38</v>
      </c>
      <c r="F116" s="61">
        <v>21289.12</v>
      </c>
      <c r="G116" s="62">
        <f t="shared" si="25"/>
        <v>-69930.26000000001</v>
      </c>
      <c r="H116" s="63">
        <f t="shared" si="21"/>
        <v>0.23338373928873446</v>
      </c>
      <c r="I116" s="61">
        <v>33077</v>
      </c>
      <c r="J116" s="61">
        <v>4255</v>
      </c>
      <c r="K116" s="61"/>
      <c r="L116" s="61">
        <f t="shared" si="22"/>
        <v>-4255</v>
      </c>
      <c r="M116" s="63">
        <f>I116/G116</f>
        <v>-0.47299981438650446</v>
      </c>
      <c r="N116" s="61">
        <f t="shared" si="26"/>
        <v>-33077</v>
      </c>
      <c r="O116" s="63">
        <f t="shared" si="14"/>
        <v>0</v>
      </c>
      <c r="P116" s="61">
        <f t="shared" si="24"/>
        <v>-21289.12</v>
      </c>
      <c r="Q116" s="66" t="s">
        <v>293</v>
      </c>
    </row>
    <row r="117" spans="1:17" ht="79.5" customHeight="1" outlineLevel="5">
      <c r="A117" s="64" t="s">
        <v>217</v>
      </c>
      <c r="B117" s="65" t="s">
        <v>218</v>
      </c>
      <c r="C117" s="59" t="s">
        <v>219</v>
      </c>
      <c r="D117" s="60" t="s">
        <v>217</v>
      </c>
      <c r="E117" s="61">
        <v>0</v>
      </c>
      <c r="F117" s="61"/>
      <c r="G117" s="62">
        <f t="shared" si="25"/>
        <v>0</v>
      </c>
      <c r="H117" s="63"/>
      <c r="I117" s="61">
        <v>6000000</v>
      </c>
      <c r="J117" s="61"/>
      <c r="K117" s="61">
        <v>6000000</v>
      </c>
      <c r="L117" s="61">
        <f t="shared" si="22"/>
        <v>6000000</v>
      </c>
      <c r="M117" s="63"/>
      <c r="N117" s="61">
        <f t="shared" si="26"/>
        <v>0</v>
      </c>
      <c r="O117" s="63"/>
      <c r="P117" s="61">
        <f t="shared" si="24"/>
        <v>6000000</v>
      </c>
      <c r="Q117" s="66"/>
    </row>
    <row r="118" spans="1:17" ht="45" customHeight="1" hidden="1" outlineLevel="5">
      <c r="A118" s="64" t="s">
        <v>220</v>
      </c>
      <c r="B118" s="65"/>
      <c r="C118" s="59" t="s">
        <v>221</v>
      </c>
      <c r="D118" s="60" t="s">
        <v>220</v>
      </c>
      <c r="E118" s="61"/>
      <c r="F118" s="61"/>
      <c r="G118" s="62">
        <f t="shared" si="25"/>
        <v>0</v>
      </c>
      <c r="H118" s="63" t="e">
        <f t="shared" si="21"/>
        <v>#DIV/0!</v>
      </c>
      <c r="I118" s="61"/>
      <c r="J118" s="61"/>
      <c r="K118" s="61"/>
      <c r="L118" s="61">
        <f t="shared" si="22"/>
        <v>0</v>
      </c>
      <c r="M118" s="63" t="e">
        <f aca="true" t="shared" si="27" ref="M118:M127">I118/G118</f>
        <v>#DIV/0!</v>
      </c>
      <c r="N118" s="61">
        <f t="shared" si="26"/>
        <v>0</v>
      </c>
      <c r="O118" s="63" t="e">
        <f t="shared" si="14"/>
        <v>#DIV/0!</v>
      </c>
      <c r="P118" s="61">
        <f t="shared" si="24"/>
        <v>0</v>
      </c>
      <c r="Q118" s="81" t="s">
        <v>222</v>
      </c>
    </row>
    <row r="119" spans="1:17" ht="117" customHeight="1" outlineLevel="5">
      <c r="A119" s="64" t="s">
        <v>223</v>
      </c>
      <c r="B119" s="82" t="s">
        <v>224</v>
      </c>
      <c r="C119" s="83" t="s">
        <v>225</v>
      </c>
      <c r="D119" s="84" t="s">
        <v>223</v>
      </c>
      <c r="E119" s="85">
        <v>5165454.72</v>
      </c>
      <c r="F119" s="85">
        <v>2247868.61</v>
      </c>
      <c r="G119" s="86">
        <f t="shared" si="25"/>
        <v>-2917586.11</v>
      </c>
      <c r="H119" s="87">
        <f t="shared" si="21"/>
        <v>0.4351734226410952</v>
      </c>
      <c r="I119" s="85">
        <v>4745840.52</v>
      </c>
      <c r="J119" s="85">
        <v>913882.48</v>
      </c>
      <c r="K119" s="85">
        <f>3032934.03+2882.2</f>
        <v>3035816.23</v>
      </c>
      <c r="L119" s="85">
        <f t="shared" si="22"/>
        <v>2121933.75</v>
      </c>
      <c r="M119" s="87">
        <f t="shared" si="27"/>
        <v>-1.62663254521732</v>
      </c>
      <c r="N119" s="85">
        <f t="shared" si="26"/>
        <v>-1710024.2899999996</v>
      </c>
      <c r="O119" s="87">
        <f t="shared" si="14"/>
        <v>0.6396793607384009</v>
      </c>
      <c r="P119" s="85">
        <f t="shared" si="24"/>
        <v>787947.6200000001</v>
      </c>
      <c r="Q119" s="88" t="s">
        <v>287</v>
      </c>
    </row>
    <row r="120" spans="1:17" ht="47.25" customHeight="1" outlineLevel="5" thickBot="1">
      <c r="A120" s="64"/>
      <c r="B120" s="65" t="s">
        <v>226</v>
      </c>
      <c r="C120" s="89" t="s">
        <v>227</v>
      </c>
      <c r="D120" s="90"/>
      <c r="E120" s="91">
        <v>1591704</v>
      </c>
      <c r="F120" s="91">
        <v>1606308</v>
      </c>
      <c r="G120" s="92">
        <f t="shared" si="25"/>
        <v>14604</v>
      </c>
      <c r="H120" s="93">
        <f t="shared" si="21"/>
        <v>1.0091750727522202</v>
      </c>
      <c r="I120" s="91">
        <v>1289000</v>
      </c>
      <c r="J120" s="91"/>
      <c r="K120" s="91">
        <v>1289000</v>
      </c>
      <c r="L120" s="85">
        <f t="shared" si="22"/>
        <v>1289000</v>
      </c>
      <c r="M120" s="93">
        <f t="shared" si="27"/>
        <v>88.26348945494385</v>
      </c>
      <c r="N120" s="85">
        <f t="shared" si="26"/>
        <v>0</v>
      </c>
      <c r="O120" s="93"/>
      <c r="P120" s="85">
        <f t="shared" si="24"/>
        <v>-317308</v>
      </c>
      <c r="Q120" s="94" t="s">
        <v>269</v>
      </c>
    </row>
    <row r="121" spans="1:17" s="16" customFormat="1" ht="31.5" customHeight="1" thickBot="1">
      <c r="A121" s="9" t="s">
        <v>228</v>
      </c>
      <c r="B121" s="10" t="s">
        <v>226</v>
      </c>
      <c r="C121" s="95" t="s">
        <v>229</v>
      </c>
      <c r="D121" s="96" t="s">
        <v>228</v>
      </c>
      <c r="E121" s="99">
        <f>E122+E126+E127+E128+E129+E130</f>
        <v>3087425772.07</v>
      </c>
      <c r="F121" s="99">
        <f>F122+F126+F127+F128+F129+F130</f>
        <v>709678917.12</v>
      </c>
      <c r="G121" s="97">
        <f t="shared" si="25"/>
        <v>-2377746854.9500003</v>
      </c>
      <c r="H121" s="98">
        <f t="shared" si="21"/>
        <v>0.229861045904332</v>
      </c>
      <c r="I121" s="99">
        <f>I122+I126+I127+I128+I129+I130</f>
        <v>2528933340.61</v>
      </c>
      <c r="J121" s="100" t="s">
        <v>230</v>
      </c>
      <c r="K121" s="99">
        <f>K122+K126+K127+K128+K129+K130</f>
        <v>783588870.25</v>
      </c>
      <c r="L121" s="100" t="s">
        <v>230</v>
      </c>
      <c r="M121" s="98">
        <f t="shared" si="27"/>
        <v>-1.0635839283501771</v>
      </c>
      <c r="N121" s="99">
        <f>N122+N126+N127+N130</f>
        <v>-1659268226.66</v>
      </c>
      <c r="O121" s="98">
        <f t="shared" si="14"/>
        <v>0.30984955501476036</v>
      </c>
      <c r="P121" s="99">
        <f t="shared" si="24"/>
        <v>73909953.13</v>
      </c>
      <c r="Q121" s="101"/>
    </row>
    <row r="122" spans="1:17" ht="39.75" customHeight="1" outlineLevel="2">
      <c r="A122" s="64" t="s">
        <v>231</v>
      </c>
      <c r="B122" s="65" t="s">
        <v>232</v>
      </c>
      <c r="C122" s="102" t="s">
        <v>233</v>
      </c>
      <c r="D122" s="103" t="s">
        <v>231</v>
      </c>
      <c r="E122" s="104">
        <v>473098326.55</v>
      </c>
      <c r="F122" s="104">
        <v>183185859.77</v>
      </c>
      <c r="G122" s="105">
        <f t="shared" si="25"/>
        <v>-289912466.78</v>
      </c>
      <c r="H122" s="106">
        <f t="shared" si="21"/>
        <v>0.38720462426036456</v>
      </c>
      <c r="I122" s="104">
        <v>497698288.62</v>
      </c>
      <c r="J122" s="107" t="s">
        <v>230</v>
      </c>
      <c r="K122" s="104">
        <v>207374289.62</v>
      </c>
      <c r="L122" s="107" t="s">
        <v>230</v>
      </c>
      <c r="M122" s="106">
        <f t="shared" si="27"/>
        <v>-1.7167191675054052</v>
      </c>
      <c r="N122" s="85">
        <f aca="true" t="shared" si="28" ref="N122:N129">K122-I122</f>
        <v>-290323999</v>
      </c>
      <c r="O122" s="106">
        <f t="shared" si="14"/>
        <v>0.41666667208159386</v>
      </c>
      <c r="P122" s="104">
        <f t="shared" si="24"/>
        <v>24188429.849999994</v>
      </c>
      <c r="Q122" s="108"/>
    </row>
    <row r="123" spans="1:17" ht="42.75" customHeight="1" hidden="1" outlineLevel="3">
      <c r="A123" s="64" t="s">
        <v>234</v>
      </c>
      <c r="B123" s="65"/>
      <c r="C123" s="59" t="s">
        <v>235</v>
      </c>
      <c r="D123" s="60" t="s">
        <v>234</v>
      </c>
      <c r="E123" s="61"/>
      <c r="F123" s="61"/>
      <c r="G123" s="105">
        <f t="shared" si="25"/>
        <v>0</v>
      </c>
      <c r="H123" s="106" t="e">
        <f t="shared" si="21"/>
        <v>#DIV/0!</v>
      </c>
      <c r="I123" s="61"/>
      <c r="J123" s="61"/>
      <c r="K123" s="61"/>
      <c r="L123" s="61"/>
      <c r="M123" s="106" t="e">
        <f t="shared" si="27"/>
        <v>#DIV/0!</v>
      </c>
      <c r="N123" s="85">
        <f t="shared" si="28"/>
        <v>0</v>
      </c>
      <c r="O123" s="106" t="e">
        <f t="shared" si="14"/>
        <v>#DIV/0!</v>
      </c>
      <c r="P123" s="104">
        <f t="shared" si="24"/>
        <v>0</v>
      </c>
      <c r="Q123" s="109"/>
    </row>
    <row r="124" spans="1:17" ht="71.25" customHeight="1" hidden="1" outlineLevel="4">
      <c r="A124" s="64" t="s">
        <v>236</v>
      </c>
      <c r="B124" s="65"/>
      <c r="C124" s="59" t="s">
        <v>237</v>
      </c>
      <c r="D124" s="60" t="s">
        <v>236</v>
      </c>
      <c r="E124" s="61"/>
      <c r="F124" s="61"/>
      <c r="G124" s="105">
        <f t="shared" si="25"/>
        <v>0</v>
      </c>
      <c r="H124" s="106" t="e">
        <f t="shared" si="21"/>
        <v>#DIV/0!</v>
      </c>
      <c r="I124" s="61"/>
      <c r="J124" s="61"/>
      <c r="K124" s="61"/>
      <c r="L124" s="61"/>
      <c r="M124" s="106" t="e">
        <f t="shared" si="27"/>
        <v>#DIV/0!</v>
      </c>
      <c r="N124" s="85">
        <f t="shared" si="28"/>
        <v>0</v>
      </c>
      <c r="O124" s="106" t="e">
        <f t="shared" si="14"/>
        <v>#DIV/0!</v>
      </c>
      <c r="P124" s="104">
        <f t="shared" si="24"/>
        <v>0</v>
      </c>
      <c r="Q124" s="109"/>
    </row>
    <row r="125" spans="1:17" ht="71.25" customHeight="1" hidden="1" outlineLevel="5">
      <c r="A125" s="64" t="s">
        <v>236</v>
      </c>
      <c r="B125" s="65"/>
      <c r="C125" s="59" t="s">
        <v>238</v>
      </c>
      <c r="D125" s="60" t="s">
        <v>236</v>
      </c>
      <c r="E125" s="61"/>
      <c r="F125" s="61"/>
      <c r="G125" s="105">
        <f t="shared" si="25"/>
        <v>0</v>
      </c>
      <c r="H125" s="106" t="e">
        <f t="shared" si="21"/>
        <v>#DIV/0!</v>
      </c>
      <c r="I125" s="61"/>
      <c r="J125" s="61"/>
      <c r="K125" s="61"/>
      <c r="L125" s="61"/>
      <c r="M125" s="106" t="e">
        <f t="shared" si="27"/>
        <v>#DIV/0!</v>
      </c>
      <c r="N125" s="85">
        <f t="shared" si="28"/>
        <v>0</v>
      </c>
      <c r="O125" s="106" t="e">
        <f t="shared" si="14"/>
        <v>#DIV/0!</v>
      </c>
      <c r="P125" s="104">
        <f t="shared" si="24"/>
        <v>0</v>
      </c>
      <c r="Q125" s="109"/>
    </row>
    <row r="126" spans="1:17" ht="21" customHeight="1" outlineLevel="2" collapsed="1">
      <c r="A126" s="64" t="s">
        <v>239</v>
      </c>
      <c r="B126" s="65" t="s">
        <v>240</v>
      </c>
      <c r="C126" s="59" t="s">
        <v>241</v>
      </c>
      <c r="D126" s="60" t="s">
        <v>242</v>
      </c>
      <c r="E126" s="110">
        <v>1985905932.37</v>
      </c>
      <c r="F126" s="110">
        <v>287264842.14</v>
      </c>
      <c r="G126" s="105">
        <f t="shared" si="25"/>
        <v>-1698641090.23</v>
      </c>
      <c r="H126" s="106">
        <f t="shared" si="21"/>
        <v>0.14465178710513002</v>
      </c>
      <c r="I126" s="61">
        <v>1359152528.19</v>
      </c>
      <c r="J126" s="107" t="s">
        <v>230</v>
      </c>
      <c r="K126" s="110">
        <v>300014197.74</v>
      </c>
      <c r="L126" s="107" t="s">
        <v>230</v>
      </c>
      <c r="M126" s="106">
        <f t="shared" si="27"/>
        <v>-0.800141086900216</v>
      </c>
      <c r="N126" s="85">
        <f t="shared" si="28"/>
        <v>-1059138330.45</v>
      </c>
      <c r="O126" s="106">
        <f t="shared" si="14"/>
        <v>0.2207362246086777</v>
      </c>
      <c r="P126" s="104">
        <f t="shared" si="24"/>
        <v>12749355.600000024</v>
      </c>
      <c r="Q126" s="109"/>
    </row>
    <row r="127" spans="1:17" ht="22.5" customHeight="1" outlineLevel="5">
      <c r="A127" s="64" t="s">
        <v>243</v>
      </c>
      <c r="B127" s="65" t="s">
        <v>244</v>
      </c>
      <c r="C127" s="59" t="s">
        <v>245</v>
      </c>
      <c r="D127" s="60" t="s">
        <v>246</v>
      </c>
      <c r="E127" s="61">
        <v>520683169.05</v>
      </c>
      <c r="F127" s="61">
        <v>228160550.13</v>
      </c>
      <c r="G127" s="105">
        <f t="shared" si="25"/>
        <v>-292522618.92</v>
      </c>
      <c r="H127" s="106">
        <f t="shared" si="21"/>
        <v>0.4381945945099106</v>
      </c>
      <c r="I127" s="61">
        <v>569411761.15</v>
      </c>
      <c r="J127" s="107" t="s">
        <v>230</v>
      </c>
      <c r="K127" s="61">
        <v>259605863.94</v>
      </c>
      <c r="L127" s="107" t="s">
        <v>230</v>
      </c>
      <c r="M127" s="106">
        <f t="shared" si="27"/>
        <v>-1.946556349222774</v>
      </c>
      <c r="N127" s="85">
        <f t="shared" si="28"/>
        <v>-309805897.21</v>
      </c>
      <c r="O127" s="106">
        <f t="shared" si="14"/>
        <v>0.4559193919979677</v>
      </c>
      <c r="P127" s="104">
        <f t="shared" si="24"/>
        <v>31445313.810000002</v>
      </c>
      <c r="Q127" s="109"/>
    </row>
    <row r="128" spans="1:17" ht="22.5" customHeight="1" outlineLevel="5">
      <c r="A128" s="64"/>
      <c r="B128" s="65" t="s">
        <v>247</v>
      </c>
      <c r="C128" s="59" t="s">
        <v>248</v>
      </c>
      <c r="D128" s="60"/>
      <c r="E128" s="61">
        <v>110208359.34</v>
      </c>
      <c r="F128" s="61">
        <v>11361000</v>
      </c>
      <c r="G128" s="105">
        <f t="shared" si="25"/>
        <v>-98847359.34</v>
      </c>
      <c r="H128" s="106">
        <f t="shared" si="21"/>
        <v>0.10308655412381715</v>
      </c>
      <c r="I128" s="61">
        <v>119974047.4</v>
      </c>
      <c r="J128" s="107" t="s">
        <v>230</v>
      </c>
      <c r="K128" s="61">
        <v>33897803.7</v>
      </c>
      <c r="L128" s="107" t="s">
        <v>230</v>
      </c>
      <c r="M128" s="106"/>
      <c r="N128" s="85">
        <f t="shared" si="28"/>
        <v>-86076243.7</v>
      </c>
      <c r="O128" s="106"/>
      <c r="P128" s="104">
        <f t="shared" si="24"/>
        <v>22536803.700000003</v>
      </c>
      <c r="Q128" s="109"/>
    </row>
    <row r="129" spans="1:17" ht="54" customHeight="1" outlineLevel="5">
      <c r="A129" s="64"/>
      <c r="B129" s="65" t="s">
        <v>249</v>
      </c>
      <c r="C129" s="59" t="s">
        <v>250</v>
      </c>
      <c r="D129" s="60"/>
      <c r="E129" s="85">
        <v>1669917.56</v>
      </c>
      <c r="F129" s="85"/>
      <c r="G129" s="105"/>
      <c r="H129" s="106"/>
      <c r="I129" s="61">
        <v>936811.59</v>
      </c>
      <c r="J129" s="107" t="s">
        <v>230</v>
      </c>
      <c r="K129" s="85">
        <v>936811.59</v>
      </c>
      <c r="L129" s="107" t="s">
        <v>230</v>
      </c>
      <c r="M129" s="106"/>
      <c r="N129" s="85">
        <f t="shared" si="28"/>
        <v>0</v>
      </c>
      <c r="O129" s="106"/>
      <c r="P129" s="104">
        <f t="shared" si="24"/>
        <v>936811.59</v>
      </c>
      <c r="Q129" s="109"/>
    </row>
    <row r="130" spans="1:17" ht="40.5" customHeight="1" outlineLevel="1">
      <c r="A130" s="64" t="s">
        <v>251</v>
      </c>
      <c r="B130" s="65" t="s">
        <v>252</v>
      </c>
      <c r="C130" s="59" t="s">
        <v>253</v>
      </c>
      <c r="D130" s="60" t="s">
        <v>251</v>
      </c>
      <c r="E130" s="85">
        <v>-4139932.8</v>
      </c>
      <c r="F130" s="85">
        <v>-293334.92</v>
      </c>
      <c r="G130" s="105">
        <f t="shared" si="25"/>
        <v>3846597.88</v>
      </c>
      <c r="H130" s="106">
        <f t="shared" si="21"/>
        <v>0.07085499552070024</v>
      </c>
      <c r="I130" s="61">
        <v>-18240096.34</v>
      </c>
      <c r="J130" s="107" t="s">
        <v>230</v>
      </c>
      <c r="K130" s="85">
        <v>-18240096.34</v>
      </c>
      <c r="L130" s="107" t="s">
        <v>230</v>
      </c>
      <c r="M130" s="63"/>
      <c r="N130" s="85">
        <f>K130-I130</f>
        <v>0</v>
      </c>
      <c r="O130" s="63"/>
      <c r="P130" s="104">
        <f t="shared" si="24"/>
        <v>-17946761.419999998</v>
      </c>
      <c r="Q130" s="109"/>
    </row>
    <row r="131" spans="1:17" s="118" customFormat="1" ht="23.25" customHeight="1">
      <c r="A131" s="506" t="s">
        <v>254</v>
      </c>
      <c r="B131" s="507"/>
      <c r="C131" s="508"/>
      <c r="D131" s="509"/>
      <c r="E131" s="115">
        <f>E121+E11</f>
        <v>3513539007.31</v>
      </c>
      <c r="F131" s="115">
        <f>F121+F11</f>
        <v>857748418.71</v>
      </c>
      <c r="G131" s="111">
        <f>F131-E131</f>
        <v>-2655790588.6</v>
      </c>
      <c r="H131" s="112">
        <f>F131/E131</f>
        <v>0.24412662472949195</v>
      </c>
      <c r="I131" s="113">
        <f>I121+I11</f>
        <v>2938874170.8</v>
      </c>
      <c r="J131" s="114" t="s">
        <v>230</v>
      </c>
      <c r="K131" s="115">
        <f>K121+K11</f>
        <v>959415797.3</v>
      </c>
      <c r="L131" s="114" t="s">
        <v>230</v>
      </c>
      <c r="M131" s="112">
        <f>I131/G131</f>
        <v>-1.1065910781577202</v>
      </c>
      <c r="N131" s="115">
        <f>N121+N11</f>
        <v>-1893382129.8000002</v>
      </c>
      <c r="O131" s="112">
        <f>K131/I131</f>
        <v>0.326456915655846</v>
      </c>
      <c r="P131" s="116">
        <f>K131-F131</f>
        <v>101667378.58999991</v>
      </c>
      <c r="Q131" s="117"/>
    </row>
    <row r="132" spans="1:17" s="129" customFormat="1" ht="24.75" customHeight="1">
      <c r="A132" s="119"/>
      <c r="B132" s="120">
        <v>46</v>
      </c>
      <c r="C132" s="121" t="s">
        <v>255</v>
      </c>
      <c r="D132" s="122"/>
      <c r="E132" s="123">
        <v>39027</v>
      </c>
      <c r="F132" s="123"/>
      <c r="G132" s="124"/>
      <c r="H132" s="125"/>
      <c r="I132" s="126"/>
      <c r="J132" s="126"/>
      <c r="K132" s="123">
        <v>-39027</v>
      </c>
      <c r="L132" s="126"/>
      <c r="M132" s="125"/>
      <c r="N132" s="123"/>
      <c r="O132" s="125"/>
      <c r="P132" s="127"/>
      <c r="Q132" s="128"/>
    </row>
    <row r="133" spans="1:17" s="118" customFormat="1" ht="26.25" customHeight="1" thickBot="1">
      <c r="A133" s="130"/>
      <c r="B133" s="131"/>
      <c r="C133" s="131"/>
      <c r="D133" s="131"/>
      <c r="E133" s="136">
        <f>E131++E132</f>
        <v>3513578034.31</v>
      </c>
      <c r="F133" s="136">
        <f>F131++F132</f>
        <v>857748418.71</v>
      </c>
      <c r="G133" s="132">
        <f>F133-E133</f>
        <v>-2655829615.6</v>
      </c>
      <c r="H133" s="133">
        <f>F133/E133</f>
        <v>0.2441239130977336</v>
      </c>
      <c r="I133" s="134">
        <f>I131++I132</f>
        <v>2938874170.8</v>
      </c>
      <c r="J133" s="135" t="s">
        <v>230</v>
      </c>
      <c r="K133" s="136">
        <f>K131++K132</f>
        <v>959376770.3</v>
      </c>
      <c r="L133" s="137" t="s">
        <v>230</v>
      </c>
      <c r="M133" s="133">
        <f>I133/G133</f>
        <v>-1.1065748169752432</v>
      </c>
      <c r="N133" s="136">
        <f>N131++N132</f>
        <v>-1893382129.8000002</v>
      </c>
      <c r="O133" s="133">
        <f>K133/I133</f>
        <v>0.32644363608083465</v>
      </c>
      <c r="P133" s="132">
        <f>K133-F133</f>
        <v>101628351.58999991</v>
      </c>
      <c r="Q133" s="138"/>
    </row>
    <row r="134" ht="15">
      <c r="E134" s="139"/>
    </row>
    <row r="137" ht="15">
      <c r="E137" s="139"/>
    </row>
  </sheetData>
  <sheetProtection/>
  <mergeCells count="26">
    <mergeCell ref="P7:P9"/>
    <mergeCell ref="M8:M9"/>
    <mergeCell ref="N8:N9"/>
    <mergeCell ref="O8:O9"/>
    <mergeCell ref="A1:D1"/>
    <mergeCell ref="A2:D2"/>
    <mergeCell ref="A3:E3"/>
    <mergeCell ref="A4:Q4"/>
    <mergeCell ref="A5:D5"/>
    <mergeCell ref="A6:Q6"/>
    <mergeCell ref="A131:D131"/>
    <mergeCell ref="Q7:Q9"/>
    <mergeCell ref="A8:A9"/>
    <mergeCell ref="E8:E9"/>
    <mergeCell ref="F8:F9"/>
    <mergeCell ref="G8:G9"/>
    <mergeCell ref="H8:H9"/>
    <mergeCell ref="I8:I9"/>
    <mergeCell ref="J8:J9"/>
    <mergeCell ref="K8:K9"/>
    <mergeCell ref="L8:L9"/>
    <mergeCell ref="B7:B9"/>
    <mergeCell ref="C7:C9"/>
    <mergeCell ref="D7:D9"/>
    <mergeCell ref="E7:H7"/>
    <mergeCell ref="I7:O7"/>
  </mergeCells>
  <printOptions horizontalCentered="1"/>
  <pageMargins left="0" right="0" top="0.1968503937007874" bottom="0" header="0.3937007874015748" footer="0.3937007874015748"/>
  <pageSetup blackAndWhite="1" errors="blank" fitToHeight="0" fitToWidth="1" horizontalDpi="600" verticalDpi="600" orientation="landscape" paperSize="9" scale="56" r:id="rId1"/>
  <rowBreaks count="1" manualBreakCount="1">
    <brk id="111" max="16" man="1"/>
  </rowBreaks>
</worksheet>
</file>

<file path=xl/worksheets/sheet11.xml><?xml version="1.0" encoding="utf-8"?>
<worksheet xmlns="http://schemas.openxmlformats.org/spreadsheetml/2006/main" xmlns:r="http://schemas.openxmlformats.org/officeDocument/2006/relationships">
  <sheetPr>
    <tabColor theme="0" tint="-0.04997999966144562"/>
    <pageSetUpPr fitToPage="1"/>
  </sheetPr>
  <dimension ref="A1:Q137"/>
  <sheetViews>
    <sheetView showGridLines="0" showZeros="0" view="pageBreakPreview" zoomScale="85" zoomScaleNormal="75" zoomScaleSheetLayoutView="85" zoomScalePageLayoutView="0" workbookViewId="0" topLeftCell="A1">
      <pane ySplit="9" topLeftCell="A10" activePane="bottomLeft" state="frozen"/>
      <selection pane="topLeft" activeCell="A1" sqref="A1"/>
      <selection pane="bottomLeft" activeCell="I129" sqref="I129"/>
    </sheetView>
  </sheetViews>
  <sheetFormatPr defaultColWidth="9.140625" defaultRowHeight="15" outlineLevelRow="5"/>
  <cols>
    <col min="1" max="1" width="9.140625" style="1" hidden="1" customWidth="1"/>
    <col min="2" max="2" width="5.28125" style="1" customWidth="1"/>
    <col min="3" max="3" width="27.421875" style="2" customWidth="1"/>
    <col min="4" max="4" width="18.00390625" style="1" hidden="1" customWidth="1"/>
    <col min="5" max="6" width="21.421875" style="1" bestFit="1" customWidth="1"/>
    <col min="7" max="7" width="20.57421875" style="1" customWidth="1"/>
    <col min="8" max="8" width="10.28125" style="1" customWidth="1"/>
    <col min="9" max="9" width="20.28125" style="1" customWidth="1"/>
    <col min="10" max="10" width="17.57421875" style="1" hidden="1" customWidth="1"/>
    <col min="11" max="11" width="21.421875" style="1" bestFit="1" customWidth="1"/>
    <col min="12" max="12" width="19.140625" style="1" hidden="1" customWidth="1"/>
    <col min="13" max="13" width="14.28125" style="1" hidden="1" customWidth="1"/>
    <col min="14" max="14" width="21.140625" style="1" customWidth="1"/>
    <col min="15" max="15" width="13.8515625" style="1" customWidth="1"/>
    <col min="16" max="16" width="19.28125" style="1" customWidth="1"/>
    <col min="17" max="17" width="50.28125" style="2" bestFit="1" customWidth="1"/>
    <col min="18" max="16384" width="9.140625" style="1" customWidth="1"/>
  </cols>
  <sheetData>
    <row r="1" spans="1:4" ht="13.5" customHeight="1">
      <c r="A1" s="535" t="s">
        <v>0</v>
      </c>
      <c r="B1" s="535"/>
      <c r="C1" s="536"/>
      <c r="D1" s="536"/>
    </row>
    <row r="2" spans="1:4" ht="15" customHeight="1" hidden="1">
      <c r="A2" s="535"/>
      <c r="B2" s="535"/>
      <c r="C2" s="536"/>
      <c r="D2" s="536"/>
    </row>
    <row r="3" spans="1:5" ht="18" customHeight="1">
      <c r="A3" s="537"/>
      <c r="B3" s="537"/>
      <c r="C3" s="537"/>
      <c r="D3" s="537"/>
      <c r="E3" s="537"/>
    </row>
    <row r="4" spans="1:17" ht="15" customHeight="1">
      <c r="A4" s="538" t="s">
        <v>273</v>
      </c>
      <c r="B4" s="538"/>
      <c r="C4" s="538"/>
      <c r="D4" s="538"/>
      <c r="E4" s="538"/>
      <c r="F4" s="538"/>
      <c r="G4" s="538"/>
      <c r="H4" s="538"/>
      <c r="I4" s="538"/>
      <c r="J4" s="538"/>
      <c r="K4" s="538"/>
      <c r="L4" s="538"/>
      <c r="M4" s="538"/>
      <c r="N4" s="538"/>
      <c r="O4" s="538"/>
      <c r="P4" s="538"/>
      <c r="Q4" s="538"/>
    </row>
    <row r="5" spans="1:4" ht="0.75" customHeight="1">
      <c r="A5" s="539"/>
      <c r="B5" s="539"/>
      <c r="C5" s="540"/>
      <c r="D5" s="540"/>
    </row>
    <row r="6" spans="1:17" ht="12.75" customHeight="1" thickBot="1">
      <c r="A6" s="541" t="s">
        <v>1</v>
      </c>
      <c r="B6" s="541"/>
      <c r="C6" s="541"/>
      <c r="D6" s="541"/>
      <c r="E6" s="541"/>
      <c r="F6" s="541"/>
      <c r="G6" s="541"/>
      <c r="H6" s="541"/>
      <c r="I6" s="541"/>
      <c r="J6" s="541"/>
      <c r="K6" s="541"/>
      <c r="L6" s="541"/>
      <c r="M6" s="541"/>
      <c r="N6" s="541"/>
      <c r="O6" s="541"/>
      <c r="P6" s="541"/>
      <c r="Q6" s="541"/>
    </row>
    <row r="7" spans="1:17" s="4" customFormat="1" ht="24" customHeight="1">
      <c r="A7" s="3"/>
      <c r="B7" s="524"/>
      <c r="C7" s="525" t="s">
        <v>2</v>
      </c>
      <c r="D7" s="527" t="s">
        <v>3</v>
      </c>
      <c r="E7" s="530">
        <v>2022</v>
      </c>
      <c r="F7" s="530"/>
      <c r="G7" s="530"/>
      <c r="H7" s="531"/>
      <c r="I7" s="532">
        <v>2023</v>
      </c>
      <c r="J7" s="530"/>
      <c r="K7" s="530"/>
      <c r="L7" s="530"/>
      <c r="M7" s="530"/>
      <c r="N7" s="530"/>
      <c r="O7" s="531"/>
      <c r="P7" s="533" t="s">
        <v>262</v>
      </c>
      <c r="Q7" s="510" t="s">
        <v>4</v>
      </c>
    </row>
    <row r="8" spans="1:17" s="4" customFormat="1" ht="24" customHeight="1">
      <c r="A8" s="512" t="s">
        <v>5</v>
      </c>
      <c r="B8" s="524"/>
      <c r="C8" s="526"/>
      <c r="D8" s="528"/>
      <c r="E8" s="514" t="s">
        <v>261</v>
      </c>
      <c r="F8" s="516" t="s">
        <v>274</v>
      </c>
      <c r="G8" s="514" t="s">
        <v>6</v>
      </c>
      <c r="H8" s="519" t="s">
        <v>7</v>
      </c>
      <c r="I8" s="516" t="s">
        <v>8</v>
      </c>
      <c r="J8" s="516" t="s">
        <v>9</v>
      </c>
      <c r="K8" s="516" t="s">
        <v>274</v>
      </c>
      <c r="L8" s="523" t="s">
        <v>10</v>
      </c>
      <c r="M8" s="516" t="s">
        <v>11</v>
      </c>
      <c r="N8" s="523" t="s">
        <v>12</v>
      </c>
      <c r="O8" s="516" t="s">
        <v>13</v>
      </c>
      <c r="P8" s="534"/>
      <c r="Q8" s="511"/>
    </row>
    <row r="9" spans="1:17" s="4" customFormat="1" ht="57.75" customHeight="1">
      <c r="A9" s="513"/>
      <c r="B9" s="524"/>
      <c r="C9" s="526"/>
      <c r="D9" s="529"/>
      <c r="E9" s="515"/>
      <c r="F9" s="517"/>
      <c r="G9" s="518"/>
      <c r="H9" s="520"/>
      <c r="I9" s="517"/>
      <c r="J9" s="517"/>
      <c r="K9" s="517"/>
      <c r="L9" s="518"/>
      <c r="M9" s="517"/>
      <c r="N9" s="518"/>
      <c r="O9" s="517"/>
      <c r="P9" s="534"/>
      <c r="Q9" s="511"/>
    </row>
    <row r="10" spans="1:17" s="4" customFormat="1" ht="21" customHeight="1">
      <c r="A10" s="157"/>
      <c r="B10" s="6"/>
      <c r="C10" s="7">
        <v>1</v>
      </c>
      <c r="D10" s="158">
        <v>2</v>
      </c>
      <c r="E10" s="158">
        <v>9</v>
      </c>
      <c r="F10" s="158">
        <v>9</v>
      </c>
      <c r="G10" s="158">
        <v>5</v>
      </c>
      <c r="H10" s="158">
        <v>6</v>
      </c>
      <c r="I10" s="158">
        <v>7</v>
      </c>
      <c r="J10" s="158">
        <v>8</v>
      </c>
      <c r="K10" s="158">
        <v>9</v>
      </c>
      <c r="L10" s="158">
        <v>10</v>
      </c>
      <c r="M10" s="158">
        <v>11</v>
      </c>
      <c r="N10" s="158">
        <v>12</v>
      </c>
      <c r="O10" s="158">
        <v>13</v>
      </c>
      <c r="P10" s="158">
        <v>14</v>
      </c>
      <c r="Q10" s="158">
        <v>15</v>
      </c>
    </row>
    <row r="11" spans="1:17" s="16" customFormat="1" ht="33" customHeight="1" thickBot="1">
      <c r="A11" s="9" t="s">
        <v>14</v>
      </c>
      <c r="B11" s="10" t="s">
        <v>15</v>
      </c>
      <c r="C11" s="11" t="s">
        <v>16</v>
      </c>
      <c r="D11" s="12" t="s">
        <v>14</v>
      </c>
      <c r="E11" s="13">
        <f>E12+E80</f>
        <v>426113235.23999995</v>
      </c>
      <c r="F11" s="13">
        <f>F12+F80</f>
        <v>122341609.31</v>
      </c>
      <c r="G11" s="13">
        <f>F11-E11</f>
        <v>-303771625.92999995</v>
      </c>
      <c r="H11" s="14">
        <f>F11/E11</f>
        <v>0.28711055933546276</v>
      </c>
      <c r="I11" s="13">
        <f>I12+I80</f>
        <v>381994751.74</v>
      </c>
      <c r="J11" s="13">
        <f>J12+J80</f>
        <v>16636685.38</v>
      </c>
      <c r="K11" s="13">
        <f>K12+K80</f>
        <v>139832001.99</v>
      </c>
      <c r="L11" s="13">
        <f>K11-J11</f>
        <v>123195316.61000001</v>
      </c>
      <c r="M11" s="14">
        <f>K11/J11</f>
        <v>8.405039753778166</v>
      </c>
      <c r="N11" s="13">
        <f>K11-I11</f>
        <v>-242162749.75</v>
      </c>
      <c r="O11" s="14">
        <f>K11/I11</f>
        <v>0.3660573904564399</v>
      </c>
      <c r="P11" s="13">
        <f>K11-F11</f>
        <v>17490392.680000007</v>
      </c>
      <c r="Q11" s="15"/>
    </row>
    <row r="12" spans="1:17" s="16" customFormat="1" ht="33" customHeight="1">
      <c r="A12" s="9"/>
      <c r="B12" s="17" t="s">
        <v>17</v>
      </c>
      <c r="C12" s="18" t="s">
        <v>18</v>
      </c>
      <c r="D12" s="19"/>
      <c r="E12" s="20">
        <f>E13+E39+E40+E62+E66+E76</f>
        <v>352618682.34999996</v>
      </c>
      <c r="F12" s="20">
        <f>F13+F39+F40+F62+F66+F76</f>
        <v>100348172.95</v>
      </c>
      <c r="G12" s="20">
        <f>F12-E12</f>
        <v>-252270509.39999998</v>
      </c>
      <c r="H12" s="21">
        <f>F12/E12</f>
        <v>0.2845798534588053</v>
      </c>
      <c r="I12" s="20">
        <f>I13+I39+I40+I62+I66+I76</f>
        <v>320644567.63</v>
      </c>
      <c r="J12" s="20">
        <f>J13+J39+J40+J62+J66+J76</f>
        <v>14406368.9</v>
      </c>
      <c r="K12" s="20">
        <f>K13+K39+K40+K62+K66+K76</f>
        <v>92074420.64</v>
      </c>
      <c r="L12" s="22">
        <f>K12-J12</f>
        <v>77668051.74</v>
      </c>
      <c r="M12" s="21">
        <f>I12/G12</f>
        <v>-1.2710346857134465</v>
      </c>
      <c r="N12" s="22">
        <f>K12-I12</f>
        <v>-228570146.99</v>
      </c>
      <c r="O12" s="21">
        <f>K12/I12</f>
        <v>0.28715415739164196</v>
      </c>
      <c r="P12" s="20">
        <f>K12-F12</f>
        <v>-8273752.310000002</v>
      </c>
      <c r="Q12" s="23"/>
    </row>
    <row r="13" spans="1:17" s="32" customFormat="1" ht="52.5" customHeight="1" outlineLevel="2">
      <c r="A13" s="24" t="s">
        <v>19</v>
      </c>
      <c r="B13" s="25" t="s">
        <v>20</v>
      </c>
      <c r="C13" s="26" t="s">
        <v>21</v>
      </c>
      <c r="D13" s="27" t="s">
        <v>19</v>
      </c>
      <c r="E13" s="141">
        <v>190630093.23</v>
      </c>
      <c r="F13" s="141">
        <v>45627926.3</v>
      </c>
      <c r="G13" s="145">
        <f>F13-E13</f>
        <v>-145002166.93</v>
      </c>
      <c r="H13" s="29">
        <f>F13/E13</f>
        <v>0.23935321819807726</v>
      </c>
      <c r="I13" s="28">
        <v>179717500</v>
      </c>
      <c r="J13" s="30">
        <v>8290000</v>
      </c>
      <c r="K13" s="141">
        <f>32509920.97+1148584.73+12560464.69+3062519.32</f>
        <v>49281489.70999999</v>
      </c>
      <c r="L13" s="28">
        <f>K13-J13</f>
        <v>40991489.70999999</v>
      </c>
      <c r="M13" s="29">
        <f>K13/J13</f>
        <v>5.944691159227984</v>
      </c>
      <c r="N13" s="28">
        <f>K13-I13</f>
        <v>-130436010.29</v>
      </c>
      <c r="O13" s="29">
        <f aca="true" t="shared" si="0" ref="O13:O78">K13/I13</f>
        <v>0.2742164213835603</v>
      </c>
      <c r="P13" s="28">
        <f>K13-F13</f>
        <v>3653563.4099999964</v>
      </c>
      <c r="Q13" s="31" t="s">
        <v>266</v>
      </c>
    </row>
    <row r="14" spans="1:17" s="32" customFormat="1" ht="6.75" customHeight="1" outlineLevel="2">
      <c r="A14" s="24"/>
      <c r="B14" s="33"/>
      <c r="C14" s="34"/>
      <c r="D14" s="35"/>
      <c r="E14" s="42"/>
      <c r="F14" s="39"/>
      <c r="G14" s="146"/>
      <c r="H14" s="38"/>
      <c r="I14" s="36"/>
      <c r="J14" s="142"/>
      <c r="K14" s="142"/>
      <c r="L14" s="36"/>
      <c r="M14" s="38"/>
      <c r="N14" s="36"/>
      <c r="O14" s="38"/>
      <c r="P14" s="36"/>
      <c r="Q14" s="40"/>
    </row>
    <row r="15" spans="1:17" s="32" customFormat="1" ht="15.75" customHeight="1" hidden="1" outlineLevel="3">
      <c r="A15" s="24" t="s">
        <v>22</v>
      </c>
      <c r="B15" s="33"/>
      <c r="C15" s="41" t="s">
        <v>23</v>
      </c>
      <c r="D15" s="143" t="s">
        <v>22</v>
      </c>
      <c r="E15" s="51"/>
      <c r="F15" s="42"/>
      <c r="G15" s="43">
        <f aca="true" t="shared" si="1" ref="G15:G40">F15-E15</f>
        <v>0</v>
      </c>
      <c r="H15" s="44" t="e">
        <f aca="true" t="shared" si="2" ref="H15:H40">F15/E15</f>
        <v>#DIV/0!</v>
      </c>
      <c r="I15" s="42">
        <v>148555700</v>
      </c>
      <c r="J15" s="42"/>
      <c r="K15" s="42"/>
      <c r="L15" s="42"/>
      <c r="M15" s="45" t="e">
        <f aca="true" t="shared" si="3" ref="M15:M75">I15/G15</f>
        <v>#DIV/0!</v>
      </c>
      <c r="N15" s="42"/>
      <c r="O15" s="45">
        <f t="shared" si="0"/>
        <v>0</v>
      </c>
      <c r="P15" s="46">
        <f aca="true" t="shared" si="4" ref="P15:P40">K15-F15</f>
        <v>0</v>
      </c>
      <c r="Q15" s="47"/>
    </row>
    <row r="16" spans="1:17" s="32" customFormat="1" ht="210" customHeight="1" hidden="1" outlineLevel="4">
      <c r="A16" s="24" t="s">
        <v>24</v>
      </c>
      <c r="B16" s="48"/>
      <c r="C16" s="49" t="s">
        <v>25</v>
      </c>
      <c r="D16" s="144" t="s">
        <v>24</v>
      </c>
      <c r="E16" s="51"/>
      <c r="F16" s="51"/>
      <c r="G16" s="52">
        <f t="shared" si="1"/>
        <v>0</v>
      </c>
      <c r="H16" s="53" t="e">
        <f t="shared" si="2"/>
        <v>#DIV/0!</v>
      </c>
      <c r="I16" s="51">
        <v>148555700</v>
      </c>
      <c r="J16" s="51"/>
      <c r="K16" s="51"/>
      <c r="L16" s="51"/>
      <c r="M16" s="54" t="e">
        <f t="shared" si="3"/>
        <v>#DIV/0!</v>
      </c>
      <c r="N16" s="51"/>
      <c r="O16" s="54">
        <f t="shared" si="0"/>
        <v>0</v>
      </c>
      <c r="P16" s="55">
        <f t="shared" si="4"/>
        <v>0</v>
      </c>
      <c r="Q16" s="56"/>
    </row>
    <row r="17" spans="1:17" s="32" customFormat="1" ht="210" customHeight="1" hidden="1" outlineLevel="5">
      <c r="A17" s="24" t="s">
        <v>24</v>
      </c>
      <c r="B17" s="48"/>
      <c r="C17" s="49" t="s">
        <v>26</v>
      </c>
      <c r="D17" s="144" t="s">
        <v>24</v>
      </c>
      <c r="E17" s="51"/>
      <c r="F17" s="51"/>
      <c r="G17" s="52">
        <f t="shared" si="1"/>
        <v>0</v>
      </c>
      <c r="H17" s="53" t="e">
        <f t="shared" si="2"/>
        <v>#DIV/0!</v>
      </c>
      <c r="I17" s="51">
        <v>148555700</v>
      </c>
      <c r="J17" s="51"/>
      <c r="K17" s="51"/>
      <c r="L17" s="51"/>
      <c r="M17" s="54" t="e">
        <f t="shared" si="3"/>
        <v>#DIV/0!</v>
      </c>
      <c r="N17" s="51"/>
      <c r="O17" s="54">
        <f t="shared" si="0"/>
        <v>0</v>
      </c>
      <c r="P17" s="55">
        <f t="shared" si="4"/>
        <v>0</v>
      </c>
      <c r="Q17" s="56"/>
    </row>
    <row r="18" spans="1:17" s="32" customFormat="1" ht="210" customHeight="1" hidden="1" outlineLevel="5">
      <c r="A18" s="24" t="s">
        <v>27</v>
      </c>
      <c r="B18" s="48"/>
      <c r="C18" s="49" t="s">
        <v>28</v>
      </c>
      <c r="D18" s="144" t="s">
        <v>27</v>
      </c>
      <c r="E18" s="51"/>
      <c r="F18" s="51"/>
      <c r="G18" s="52">
        <f t="shared" si="1"/>
        <v>0</v>
      </c>
      <c r="H18" s="53" t="e">
        <f t="shared" si="2"/>
        <v>#DIV/0!</v>
      </c>
      <c r="I18" s="51">
        <v>0</v>
      </c>
      <c r="J18" s="51"/>
      <c r="K18" s="51"/>
      <c r="L18" s="51"/>
      <c r="M18" s="54" t="e">
        <f t="shared" si="3"/>
        <v>#DIV/0!</v>
      </c>
      <c r="N18" s="51"/>
      <c r="O18" s="54" t="e">
        <f t="shared" si="0"/>
        <v>#DIV/0!</v>
      </c>
      <c r="P18" s="55">
        <f t="shared" si="4"/>
        <v>0</v>
      </c>
      <c r="Q18" s="56"/>
    </row>
    <row r="19" spans="1:17" s="32" customFormat="1" ht="210" customHeight="1" hidden="1" outlineLevel="5">
      <c r="A19" s="24" t="s">
        <v>29</v>
      </c>
      <c r="B19" s="48"/>
      <c r="C19" s="49" t="s">
        <v>26</v>
      </c>
      <c r="D19" s="144" t="s">
        <v>29</v>
      </c>
      <c r="E19" s="51"/>
      <c r="F19" s="51"/>
      <c r="G19" s="52">
        <f t="shared" si="1"/>
        <v>0</v>
      </c>
      <c r="H19" s="53" t="e">
        <f t="shared" si="2"/>
        <v>#DIV/0!</v>
      </c>
      <c r="I19" s="51">
        <v>0</v>
      </c>
      <c r="J19" s="51"/>
      <c r="K19" s="51"/>
      <c r="L19" s="51"/>
      <c r="M19" s="54" t="e">
        <f t="shared" si="3"/>
        <v>#DIV/0!</v>
      </c>
      <c r="N19" s="51"/>
      <c r="O19" s="54" t="e">
        <f t="shared" si="0"/>
        <v>#DIV/0!</v>
      </c>
      <c r="P19" s="55">
        <f t="shared" si="4"/>
        <v>0</v>
      </c>
      <c r="Q19" s="56"/>
    </row>
    <row r="20" spans="1:17" s="32" customFormat="1" ht="210" customHeight="1" hidden="1" outlineLevel="5">
      <c r="A20" s="24" t="s">
        <v>30</v>
      </c>
      <c r="B20" s="48"/>
      <c r="C20" s="49" t="s">
        <v>26</v>
      </c>
      <c r="D20" s="144" t="s">
        <v>30</v>
      </c>
      <c r="E20" s="51"/>
      <c r="F20" s="51"/>
      <c r="G20" s="52">
        <f t="shared" si="1"/>
        <v>0</v>
      </c>
      <c r="H20" s="53" t="e">
        <f t="shared" si="2"/>
        <v>#DIV/0!</v>
      </c>
      <c r="I20" s="51">
        <v>0</v>
      </c>
      <c r="J20" s="51"/>
      <c r="K20" s="51"/>
      <c r="L20" s="51"/>
      <c r="M20" s="54" t="e">
        <f t="shared" si="3"/>
        <v>#DIV/0!</v>
      </c>
      <c r="N20" s="51"/>
      <c r="O20" s="54" t="e">
        <f t="shared" si="0"/>
        <v>#DIV/0!</v>
      </c>
      <c r="P20" s="55">
        <f t="shared" si="4"/>
        <v>0</v>
      </c>
      <c r="Q20" s="56"/>
    </row>
    <row r="21" spans="1:17" s="32" customFormat="1" ht="210" customHeight="1" hidden="1" outlineLevel="5">
      <c r="A21" s="24" t="s">
        <v>31</v>
      </c>
      <c r="B21" s="48"/>
      <c r="C21" s="49" t="s">
        <v>28</v>
      </c>
      <c r="D21" s="144" t="s">
        <v>31</v>
      </c>
      <c r="E21" s="51"/>
      <c r="F21" s="51"/>
      <c r="G21" s="52">
        <f t="shared" si="1"/>
        <v>0</v>
      </c>
      <c r="H21" s="53" t="e">
        <f t="shared" si="2"/>
        <v>#DIV/0!</v>
      </c>
      <c r="I21" s="51">
        <v>0</v>
      </c>
      <c r="J21" s="51"/>
      <c r="K21" s="51"/>
      <c r="L21" s="51"/>
      <c r="M21" s="54" t="e">
        <f t="shared" si="3"/>
        <v>#DIV/0!</v>
      </c>
      <c r="N21" s="51"/>
      <c r="O21" s="54" t="e">
        <f t="shared" si="0"/>
        <v>#DIV/0!</v>
      </c>
      <c r="P21" s="55">
        <f t="shared" si="4"/>
        <v>0</v>
      </c>
      <c r="Q21" s="56"/>
    </row>
    <row r="22" spans="1:17" s="32" customFormat="1" ht="15.75" customHeight="1" hidden="1" outlineLevel="3">
      <c r="A22" s="24" t="s">
        <v>32</v>
      </c>
      <c r="B22" s="48"/>
      <c r="C22" s="49" t="s">
        <v>23</v>
      </c>
      <c r="D22" s="144" t="s">
        <v>32</v>
      </c>
      <c r="E22" s="51"/>
      <c r="F22" s="51"/>
      <c r="G22" s="52">
        <f t="shared" si="1"/>
        <v>0</v>
      </c>
      <c r="H22" s="53" t="e">
        <f t="shared" si="2"/>
        <v>#DIV/0!</v>
      </c>
      <c r="I22" s="51">
        <v>750300</v>
      </c>
      <c r="J22" s="51"/>
      <c r="K22" s="51"/>
      <c r="L22" s="51"/>
      <c r="M22" s="54" t="e">
        <f t="shared" si="3"/>
        <v>#DIV/0!</v>
      </c>
      <c r="N22" s="51"/>
      <c r="O22" s="54">
        <f t="shared" si="0"/>
        <v>0</v>
      </c>
      <c r="P22" s="55">
        <f t="shared" si="4"/>
        <v>0</v>
      </c>
      <c r="Q22" s="56"/>
    </row>
    <row r="23" spans="1:17" s="32" customFormat="1" ht="330" customHeight="1" hidden="1" outlineLevel="4">
      <c r="A23" s="24" t="s">
        <v>33</v>
      </c>
      <c r="B23" s="48"/>
      <c r="C23" s="49" t="s">
        <v>34</v>
      </c>
      <c r="D23" s="144" t="s">
        <v>33</v>
      </c>
      <c r="E23" s="51"/>
      <c r="F23" s="51"/>
      <c r="G23" s="52">
        <f t="shared" si="1"/>
        <v>0</v>
      </c>
      <c r="H23" s="53" t="e">
        <f t="shared" si="2"/>
        <v>#DIV/0!</v>
      </c>
      <c r="I23" s="51">
        <v>750300</v>
      </c>
      <c r="J23" s="51"/>
      <c r="K23" s="51"/>
      <c r="L23" s="51"/>
      <c r="M23" s="54" t="e">
        <f t="shared" si="3"/>
        <v>#DIV/0!</v>
      </c>
      <c r="N23" s="51"/>
      <c r="O23" s="54">
        <f t="shared" si="0"/>
        <v>0</v>
      </c>
      <c r="P23" s="55">
        <f t="shared" si="4"/>
        <v>0</v>
      </c>
      <c r="Q23" s="56"/>
    </row>
    <row r="24" spans="1:17" s="32" customFormat="1" ht="330" customHeight="1" hidden="1" outlineLevel="5">
      <c r="A24" s="24" t="s">
        <v>33</v>
      </c>
      <c r="B24" s="48"/>
      <c r="C24" s="49" t="s">
        <v>35</v>
      </c>
      <c r="D24" s="144" t="s">
        <v>33</v>
      </c>
      <c r="E24" s="51"/>
      <c r="F24" s="51"/>
      <c r="G24" s="52">
        <f t="shared" si="1"/>
        <v>0</v>
      </c>
      <c r="H24" s="53" t="e">
        <f t="shared" si="2"/>
        <v>#DIV/0!</v>
      </c>
      <c r="I24" s="51">
        <v>750300</v>
      </c>
      <c r="J24" s="51"/>
      <c r="K24" s="51"/>
      <c r="L24" s="51"/>
      <c r="M24" s="54" t="e">
        <f t="shared" si="3"/>
        <v>#DIV/0!</v>
      </c>
      <c r="N24" s="51"/>
      <c r="O24" s="54">
        <f t="shared" si="0"/>
        <v>0</v>
      </c>
      <c r="P24" s="55">
        <f t="shared" si="4"/>
        <v>0</v>
      </c>
      <c r="Q24" s="56"/>
    </row>
    <row r="25" spans="1:17" s="32" customFormat="1" ht="330" customHeight="1" hidden="1" outlineLevel="5">
      <c r="A25" s="24" t="s">
        <v>36</v>
      </c>
      <c r="B25" s="48"/>
      <c r="C25" s="49" t="s">
        <v>35</v>
      </c>
      <c r="D25" s="144" t="s">
        <v>36</v>
      </c>
      <c r="E25" s="51"/>
      <c r="F25" s="51"/>
      <c r="G25" s="52">
        <f t="shared" si="1"/>
        <v>0</v>
      </c>
      <c r="H25" s="53" t="e">
        <f t="shared" si="2"/>
        <v>#DIV/0!</v>
      </c>
      <c r="I25" s="51">
        <v>0</v>
      </c>
      <c r="J25" s="51"/>
      <c r="K25" s="51"/>
      <c r="L25" s="51"/>
      <c r="M25" s="54" t="e">
        <f t="shared" si="3"/>
        <v>#DIV/0!</v>
      </c>
      <c r="N25" s="51"/>
      <c r="O25" s="54" t="e">
        <f t="shared" si="0"/>
        <v>#DIV/0!</v>
      </c>
      <c r="P25" s="55">
        <f t="shared" si="4"/>
        <v>0</v>
      </c>
      <c r="Q25" s="56"/>
    </row>
    <row r="26" spans="1:17" s="32" customFormat="1" ht="15.75" customHeight="1" hidden="1" outlineLevel="5">
      <c r="A26" s="24" t="s">
        <v>37</v>
      </c>
      <c r="B26" s="48"/>
      <c r="C26" s="49">
        <v>1.82101020200121E+19</v>
      </c>
      <c r="D26" s="144" t="s">
        <v>37</v>
      </c>
      <c r="E26" s="51"/>
      <c r="F26" s="51"/>
      <c r="G26" s="52">
        <f t="shared" si="1"/>
        <v>0</v>
      </c>
      <c r="H26" s="53" t="e">
        <f t="shared" si="2"/>
        <v>#DIV/0!</v>
      </c>
      <c r="I26" s="51">
        <v>0</v>
      </c>
      <c r="J26" s="51"/>
      <c r="K26" s="51"/>
      <c r="L26" s="51"/>
      <c r="M26" s="54" t="e">
        <f t="shared" si="3"/>
        <v>#DIV/0!</v>
      </c>
      <c r="N26" s="51"/>
      <c r="O26" s="54" t="e">
        <f t="shared" si="0"/>
        <v>#DIV/0!</v>
      </c>
      <c r="P26" s="55">
        <f t="shared" si="4"/>
        <v>0</v>
      </c>
      <c r="Q26" s="56"/>
    </row>
    <row r="27" spans="1:17" s="32" customFormat="1" ht="330" customHeight="1" hidden="1" outlineLevel="5">
      <c r="A27" s="24" t="s">
        <v>38</v>
      </c>
      <c r="B27" s="48"/>
      <c r="C27" s="49" t="s">
        <v>35</v>
      </c>
      <c r="D27" s="144" t="s">
        <v>38</v>
      </c>
      <c r="E27" s="51"/>
      <c r="F27" s="51"/>
      <c r="G27" s="52">
        <f t="shared" si="1"/>
        <v>0</v>
      </c>
      <c r="H27" s="53" t="e">
        <f t="shared" si="2"/>
        <v>#DIV/0!</v>
      </c>
      <c r="I27" s="51">
        <v>0</v>
      </c>
      <c r="J27" s="51"/>
      <c r="K27" s="51"/>
      <c r="L27" s="51"/>
      <c r="M27" s="54" t="e">
        <f t="shared" si="3"/>
        <v>#DIV/0!</v>
      </c>
      <c r="N27" s="51"/>
      <c r="O27" s="54" t="e">
        <f t="shared" si="0"/>
        <v>#DIV/0!</v>
      </c>
      <c r="P27" s="55">
        <f t="shared" si="4"/>
        <v>0</v>
      </c>
      <c r="Q27" s="56"/>
    </row>
    <row r="28" spans="1:17" s="32" customFormat="1" ht="15.75" customHeight="1" hidden="1" outlineLevel="3">
      <c r="A28" s="24" t="s">
        <v>39</v>
      </c>
      <c r="B28" s="48"/>
      <c r="C28" s="49" t="s">
        <v>23</v>
      </c>
      <c r="D28" s="144" t="s">
        <v>39</v>
      </c>
      <c r="E28" s="51"/>
      <c r="F28" s="51"/>
      <c r="G28" s="52">
        <f t="shared" si="1"/>
        <v>0</v>
      </c>
      <c r="H28" s="53" t="e">
        <f t="shared" si="2"/>
        <v>#DIV/0!</v>
      </c>
      <c r="I28" s="51">
        <v>450200</v>
      </c>
      <c r="J28" s="51"/>
      <c r="K28" s="51"/>
      <c r="L28" s="51"/>
      <c r="M28" s="54" t="e">
        <f t="shared" si="3"/>
        <v>#DIV/0!</v>
      </c>
      <c r="N28" s="51"/>
      <c r="O28" s="54">
        <f t="shared" si="0"/>
        <v>0</v>
      </c>
      <c r="P28" s="55">
        <f t="shared" si="4"/>
        <v>0</v>
      </c>
      <c r="Q28" s="56"/>
    </row>
    <row r="29" spans="1:17" s="32" customFormat="1" ht="120" customHeight="1" hidden="1" outlineLevel="4">
      <c r="A29" s="24" t="s">
        <v>40</v>
      </c>
      <c r="B29" s="48"/>
      <c r="C29" s="49" t="s">
        <v>41</v>
      </c>
      <c r="D29" s="144" t="s">
        <v>40</v>
      </c>
      <c r="E29" s="51"/>
      <c r="F29" s="51"/>
      <c r="G29" s="52">
        <f t="shared" si="1"/>
        <v>0</v>
      </c>
      <c r="H29" s="53" t="e">
        <f t="shared" si="2"/>
        <v>#DIV/0!</v>
      </c>
      <c r="I29" s="51">
        <v>450200</v>
      </c>
      <c r="J29" s="51"/>
      <c r="K29" s="51"/>
      <c r="L29" s="51"/>
      <c r="M29" s="54" t="e">
        <f t="shared" si="3"/>
        <v>#DIV/0!</v>
      </c>
      <c r="N29" s="51"/>
      <c r="O29" s="54">
        <f t="shared" si="0"/>
        <v>0</v>
      </c>
      <c r="P29" s="55">
        <f t="shared" si="4"/>
        <v>0</v>
      </c>
      <c r="Q29" s="56"/>
    </row>
    <row r="30" spans="1:17" s="32" customFormat="1" ht="120" customHeight="1" hidden="1" outlineLevel="5">
      <c r="A30" s="24" t="s">
        <v>40</v>
      </c>
      <c r="B30" s="48"/>
      <c r="C30" s="49" t="s">
        <v>42</v>
      </c>
      <c r="D30" s="144" t="s">
        <v>40</v>
      </c>
      <c r="E30" s="51"/>
      <c r="F30" s="51"/>
      <c r="G30" s="52">
        <f t="shared" si="1"/>
        <v>0</v>
      </c>
      <c r="H30" s="53" t="e">
        <f t="shared" si="2"/>
        <v>#DIV/0!</v>
      </c>
      <c r="I30" s="51">
        <v>450200</v>
      </c>
      <c r="J30" s="51"/>
      <c r="K30" s="51"/>
      <c r="L30" s="51"/>
      <c r="M30" s="54" t="e">
        <f t="shared" si="3"/>
        <v>#DIV/0!</v>
      </c>
      <c r="N30" s="51"/>
      <c r="O30" s="54">
        <f t="shared" si="0"/>
        <v>0</v>
      </c>
      <c r="P30" s="55">
        <f t="shared" si="4"/>
        <v>0</v>
      </c>
      <c r="Q30" s="56"/>
    </row>
    <row r="31" spans="1:17" s="32" customFormat="1" ht="120" customHeight="1" hidden="1" outlineLevel="5">
      <c r="A31" s="24" t="s">
        <v>43</v>
      </c>
      <c r="B31" s="48"/>
      <c r="C31" s="49" t="s">
        <v>44</v>
      </c>
      <c r="D31" s="144" t="s">
        <v>43</v>
      </c>
      <c r="E31" s="51"/>
      <c r="F31" s="51"/>
      <c r="G31" s="52">
        <f t="shared" si="1"/>
        <v>0</v>
      </c>
      <c r="H31" s="53" t="e">
        <f t="shared" si="2"/>
        <v>#DIV/0!</v>
      </c>
      <c r="I31" s="51">
        <v>0</v>
      </c>
      <c r="J31" s="51"/>
      <c r="K31" s="51"/>
      <c r="L31" s="51"/>
      <c r="M31" s="54" t="e">
        <f t="shared" si="3"/>
        <v>#DIV/0!</v>
      </c>
      <c r="N31" s="51"/>
      <c r="O31" s="54" t="e">
        <f t="shared" si="0"/>
        <v>#DIV/0!</v>
      </c>
      <c r="P31" s="55">
        <f t="shared" si="4"/>
        <v>0</v>
      </c>
      <c r="Q31" s="56"/>
    </row>
    <row r="32" spans="1:17" s="32" customFormat="1" ht="15.75" customHeight="1" hidden="1" outlineLevel="5">
      <c r="A32" s="24" t="s">
        <v>45</v>
      </c>
      <c r="B32" s="48"/>
      <c r="C32" s="49">
        <v>1.82101020300121E+19</v>
      </c>
      <c r="D32" s="144" t="s">
        <v>45</v>
      </c>
      <c r="E32" s="51"/>
      <c r="F32" s="51"/>
      <c r="G32" s="52">
        <f t="shared" si="1"/>
        <v>0</v>
      </c>
      <c r="H32" s="53" t="e">
        <f t="shared" si="2"/>
        <v>#DIV/0!</v>
      </c>
      <c r="I32" s="51">
        <v>0</v>
      </c>
      <c r="J32" s="51"/>
      <c r="K32" s="51"/>
      <c r="L32" s="51"/>
      <c r="M32" s="54" t="e">
        <f t="shared" si="3"/>
        <v>#DIV/0!</v>
      </c>
      <c r="N32" s="51"/>
      <c r="O32" s="54" t="e">
        <f t="shared" si="0"/>
        <v>#DIV/0!</v>
      </c>
      <c r="P32" s="55">
        <f t="shared" si="4"/>
        <v>0</v>
      </c>
      <c r="Q32" s="56"/>
    </row>
    <row r="33" spans="1:17" s="32" customFormat="1" ht="120" customHeight="1" hidden="1" outlineLevel="5">
      <c r="A33" s="24" t="s">
        <v>46</v>
      </c>
      <c r="B33" s="48"/>
      <c r="C33" s="49" t="s">
        <v>44</v>
      </c>
      <c r="D33" s="144" t="s">
        <v>46</v>
      </c>
      <c r="E33" s="51"/>
      <c r="F33" s="51"/>
      <c r="G33" s="52">
        <f t="shared" si="1"/>
        <v>0</v>
      </c>
      <c r="H33" s="53" t="e">
        <f t="shared" si="2"/>
        <v>#DIV/0!</v>
      </c>
      <c r="I33" s="51">
        <v>0</v>
      </c>
      <c r="J33" s="51"/>
      <c r="K33" s="51"/>
      <c r="L33" s="51"/>
      <c r="M33" s="54" t="e">
        <f t="shared" si="3"/>
        <v>#DIV/0!</v>
      </c>
      <c r="N33" s="51"/>
      <c r="O33" s="54" t="e">
        <f t="shared" si="0"/>
        <v>#DIV/0!</v>
      </c>
      <c r="P33" s="55">
        <f t="shared" si="4"/>
        <v>0</v>
      </c>
      <c r="Q33" s="56"/>
    </row>
    <row r="34" spans="1:17" s="32" customFormat="1" ht="120" customHeight="1" hidden="1" outlineLevel="5">
      <c r="A34" s="24" t="s">
        <v>47</v>
      </c>
      <c r="B34" s="48"/>
      <c r="C34" s="49" t="s">
        <v>44</v>
      </c>
      <c r="D34" s="144" t="s">
        <v>47</v>
      </c>
      <c r="E34" s="51"/>
      <c r="F34" s="51"/>
      <c r="G34" s="52">
        <f t="shared" si="1"/>
        <v>0</v>
      </c>
      <c r="H34" s="53" t="e">
        <f t="shared" si="2"/>
        <v>#DIV/0!</v>
      </c>
      <c r="I34" s="51">
        <v>0</v>
      </c>
      <c r="J34" s="51"/>
      <c r="K34" s="51"/>
      <c r="L34" s="51"/>
      <c r="M34" s="54" t="e">
        <f t="shared" si="3"/>
        <v>#DIV/0!</v>
      </c>
      <c r="N34" s="51"/>
      <c r="O34" s="54" t="e">
        <f t="shared" si="0"/>
        <v>#DIV/0!</v>
      </c>
      <c r="P34" s="55">
        <f t="shared" si="4"/>
        <v>0</v>
      </c>
      <c r="Q34" s="56"/>
    </row>
    <row r="35" spans="1:17" s="32" customFormat="1" ht="15.75" customHeight="1" hidden="1" outlineLevel="3">
      <c r="A35" s="24" t="s">
        <v>48</v>
      </c>
      <c r="B35" s="48"/>
      <c r="C35" s="49" t="s">
        <v>23</v>
      </c>
      <c r="D35" s="144" t="s">
        <v>48</v>
      </c>
      <c r="E35" s="51"/>
      <c r="F35" s="51"/>
      <c r="G35" s="52">
        <f t="shared" si="1"/>
        <v>0</v>
      </c>
      <c r="H35" s="53" t="e">
        <f t="shared" si="2"/>
        <v>#DIV/0!</v>
      </c>
      <c r="I35" s="51">
        <v>300100</v>
      </c>
      <c r="J35" s="51"/>
      <c r="K35" s="51"/>
      <c r="L35" s="51"/>
      <c r="M35" s="54" t="e">
        <f t="shared" si="3"/>
        <v>#DIV/0!</v>
      </c>
      <c r="N35" s="51"/>
      <c r="O35" s="54">
        <f t="shared" si="0"/>
        <v>0</v>
      </c>
      <c r="P35" s="55">
        <f t="shared" si="4"/>
        <v>0</v>
      </c>
      <c r="Q35" s="56"/>
    </row>
    <row r="36" spans="1:17" s="32" customFormat="1" ht="270" customHeight="1" hidden="1" outlineLevel="4">
      <c r="A36" s="24" t="s">
        <v>49</v>
      </c>
      <c r="B36" s="48"/>
      <c r="C36" s="49" t="s">
        <v>50</v>
      </c>
      <c r="D36" s="144" t="s">
        <v>49</v>
      </c>
      <c r="E36" s="51"/>
      <c r="F36" s="51"/>
      <c r="G36" s="52">
        <f t="shared" si="1"/>
        <v>0</v>
      </c>
      <c r="H36" s="53" t="e">
        <f t="shared" si="2"/>
        <v>#DIV/0!</v>
      </c>
      <c r="I36" s="51">
        <v>300100</v>
      </c>
      <c r="J36" s="51"/>
      <c r="K36" s="51"/>
      <c r="L36" s="51"/>
      <c r="M36" s="54" t="e">
        <f t="shared" si="3"/>
        <v>#DIV/0!</v>
      </c>
      <c r="N36" s="51"/>
      <c r="O36" s="54">
        <f t="shared" si="0"/>
        <v>0</v>
      </c>
      <c r="P36" s="55">
        <f t="shared" si="4"/>
        <v>0</v>
      </c>
      <c r="Q36" s="56"/>
    </row>
    <row r="37" spans="1:17" s="32" customFormat="1" ht="270" customHeight="1" hidden="1" outlineLevel="5">
      <c r="A37" s="24" t="s">
        <v>49</v>
      </c>
      <c r="B37" s="48"/>
      <c r="C37" s="49" t="s">
        <v>51</v>
      </c>
      <c r="D37" s="144" t="s">
        <v>49</v>
      </c>
      <c r="E37" s="51"/>
      <c r="F37" s="51"/>
      <c r="G37" s="52">
        <f t="shared" si="1"/>
        <v>0</v>
      </c>
      <c r="H37" s="53" t="e">
        <f t="shared" si="2"/>
        <v>#DIV/0!</v>
      </c>
      <c r="I37" s="51">
        <v>300100</v>
      </c>
      <c r="J37" s="51"/>
      <c r="K37" s="51"/>
      <c r="L37" s="51"/>
      <c r="M37" s="54" t="e">
        <f t="shared" si="3"/>
        <v>#DIV/0!</v>
      </c>
      <c r="N37" s="51"/>
      <c r="O37" s="54">
        <f t="shared" si="0"/>
        <v>0</v>
      </c>
      <c r="P37" s="55">
        <f t="shared" si="4"/>
        <v>0</v>
      </c>
      <c r="Q37" s="56"/>
    </row>
    <row r="38" spans="1:17" s="32" customFormat="1" ht="409.5" customHeight="1" hidden="1" outlineLevel="5">
      <c r="A38" s="24" t="s">
        <v>52</v>
      </c>
      <c r="B38" s="48"/>
      <c r="C38" s="49" t="s">
        <v>53</v>
      </c>
      <c r="D38" s="144" t="s">
        <v>52</v>
      </c>
      <c r="E38" s="51">
        <v>8650982.19</v>
      </c>
      <c r="F38" s="51"/>
      <c r="G38" s="52">
        <f t="shared" si="1"/>
        <v>-8650982.19</v>
      </c>
      <c r="H38" s="53">
        <f t="shared" si="2"/>
        <v>0</v>
      </c>
      <c r="I38" s="51">
        <v>0</v>
      </c>
      <c r="J38" s="51"/>
      <c r="K38" s="51"/>
      <c r="L38" s="51"/>
      <c r="M38" s="54">
        <f t="shared" si="3"/>
        <v>0</v>
      </c>
      <c r="N38" s="51"/>
      <c r="O38" s="54" t="e">
        <f t="shared" si="0"/>
        <v>#DIV/0!</v>
      </c>
      <c r="P38" s="55">
        <f t="shared" si="4"/>
        <v>0</v>
      </c>
      <c r="Q38" s="56"/>
    </row>
    <row r="39" spans="1:17" s="32" customFormat="1" ht="57.75" customHeight="1" outlineLevel="2" collapsed="1">
      <c r="A39" s="24" t="s">
        <v>54</v>
      </c>
      <c r="B39" s="48" t="s">
        <v>55</v>
      </c>
      <c r="C39" s="49" t="s">
        <v>56</v>
      </c>
      <c r="D39" s="144" t="s">
        <v>54</v>
      </c>
      <c r="E39" s="51">
        <v>10254357.32</v>
      </c>
      <c r="F39" s="51">
        <v>2877493</v>
      </c>
      <c r="G39" s="52">
        <f t="shared" si="1"/>
        <v>-7376864.32</v>
      </c>
      <c r="H39" s="53">
        <f t="shared" si="2"/>
        <v>0.2806117351096948</v>
      </c>
      <c r="I39" s="51">
        <v>9197170</v>
      </c>
      <c r="J39" s="51">
        <v>676056.9</v>
      </c>
      <c r="K39" s="51">
        <f>2473092.53+43926.65+798665.33</f>
        <v>3315684.51</v>
      </c>
      <c r="L39" s="28">
        <f>K39-J39</f>
        <v>2639627.61</v>
      </c>
      <c r="M39" s="54">
        <f t="shared" si="3"/>
        <v>-1.2467587312219943</v>
      </c>
      <c r="N39" s="51">
        <f>K39-I39</f>
        <v>-5881485.49</v>
      </c>
      <c r="O39" s="54">
        <f t="shared" si="0"/>
        <v>0.3605113866548079</v>
      </c>
      <c r="P39" s="55">
        <f t="shared" si="4"/>
        <v>438191.5099999998</v>
      </c>
      <c r="Q39" s="149" t="s">
        <v>267</v>
      </c>
    </row>
    <row r="40" spans="1:17" s="32" customFormat="1" ht="58.5" customHeight="1" outlineLevel="1">
      <c r="A40" s="24" t="s">
        <v>57</v>
      </c>
      <c r="B40" s="48" t="s">
        <v>58</v>
      </c>
      <c r="C40" s="49" t="s">
        <v>59</v>
      </c>
      <c r="D40" s="144" t="s">
        <v>57</v>
      </c>
      <c r="E40" s="58">
        <f>E41+E42+E52+E56</f>
        <v>45903932.26</v>
      </c>
      <c r="F40" s="51">
        <f>F41+F42+F52+F56</f>
        <v>18314432.53</v>
      </c>
      <c r="G40" s="52">
        <f t="shared" si="1"/>
        <v>-27589499.729999997</v>
      </c>
      <c r="H40" s="53">
        <f t="shared" si="2"/>
        <v>0.3989730645790214</v>
      </c>
      <c r="I40" s="51">
        <f>I41+I42+I52+I56</f>
        <v>44278800</v>
      </c>
      <c r="J40" s="51">
        <f>J41+J42+J52+J56</f>
        <v>1291804</v>
      </c>
      <c r="K40" s="51">
        <f>K41+K42+K52+K56</f>
        <v>20589455.720000003</v>
      </c>
      <c r="L40" s="28">
        <f>K40-J40</f>
        <v>19297651.720000003</v>
      </c>
      <c r="M40" s="54">
        <f t="shared" si="3"/>
        <v>-1.604914928988457</v>
      </c>
      <c r="N40" s="51">
        <f>N41+N42+N52+N56</f>
        <v>-23689344.279999997</v>
      </c>
      <c r="O40" s="54">
        <f t="shared" si="0"/>
        <v>0.4649957930205878</v>
      </c>
      <c r="P40" s="55">
        <f t="shared" si="4"/>
        <v>2275023.1900000013</v>
      </c>
      <c r="Q40" s="149" t="s">
        <v>267</v>
      </c>
    </row>
    <row r="41" spans="1:17" s="32" customFormat="1" ht="41.25" customHeight="1" outlineLevel="1">
      <c r="A41" s="24"/>
      <c r="B41" s="48" t="s">
        <v>60</v>
      </c>
      <c r="C41" s="59" t="s">
        <v>61</v>
      </c>
      <c r="D41" s="60" t="s">
        <v>62</v>
      </c>
      <c r="E41" s="61">
        <v>33191065.25</v>
      </c>
      <c r="F41" s="61">
        <v>12874387.82</v>
      </c>
      <c r="G41" s="62">
        <f>F41-E41</f>
        <v>-20316677.43</v>
      </c>
      <c r="H41" s="63"/>
      <c r="I41" s="61">
        <v>31715800</v>
      </c>
      <c r="J41" s="61">
        <v>728906</v>
      </c>
      <c r="K41" s="61">
        <f>7105876.89+218530.25+9113559.89+1115052.69</f>
        <v>17553019.720000003</v>
      </c>
      <c r="L41" s="61">
        <f>K41-J41</f>
        <v>16824113.720000003</v>
      </c>
      <c r="M41" s="63">
        <f t="shared" si="3"/>
        <v>-1.5610721836419883</v>
      </c>
      <c r="N41" s="61">
        <f>K41-I41</f>
        <v>-14162780.279999997</v>
      </c>
      <c r="O41" s="63">
        <f t="shared" si="0"/>
        <v>0.5534471689189616</v>
      </c>
      <c r="P41" s="61">
        <f>K41-F41</f>
        <v>4678631.900000002</v>
      </c>
      <c r="Q41" s="57"/>
    </row>
    <row r="42" spans="1:17" ht="28.5" outlineLevel="2">
      <c r="A42" s="64" t="s">
        <v>63</v>
      </c>
      <c r="B42" s="65" t="s">
        <v>64</v>
      </c>
      <c r="C42" s="59" t="s">
        <v>65</v>
      </c>
      <c r="D42" s="60" t="s">
        <v>63</v>
      </c>
      <c r="E42" s="61">
        <v>108221.73</v>
      </c>
      <c r="F42" s="61">
        <v>77531.95</v>
      </c>
      <c r="G42" s="62">
        <f>F42-E42</f>
        <v>-30689.78</v>
      </c>
      <c r="H42" s="63">
        <f>F42/E42</f>
        <v>0.7164175808315021</v>
      </c>
      <c r="I42" s="61"/>
      <c r="J42" s="61"/>
      <c r="K42" s="61">
        <v>-221964.26</v>
      </c>
      <c r="L42" s="61">
        <f aca="true" t="shared" si="5" ref="L42:L56">K42-J42</f>
        <v>-221964.26</v>
      </c>
      <c r="M42" s="63">
        <f t="shared" si="3"/>
        <v>0</v>
      </c>
      <c r="N42" s="61">
        <f>K42-I42</f>
        <v>-221964.26</v>
      </c>
      <c r="O42" s="63"/>
      <c r="P42" s="61">
        <f>K42-F42</f>
        <v>-299496.21</v>
      </c>
      <c r="Q42" s="66" t="s">
        <v>263</v>
      </c>
    </row>
    <row r="43" spans="1:17" ht="15" customHeight="1" hidden="1" outlineLevel="3">
      <c r="A43" s="64" t="s">
        <v>66</v>
      </c>
      <c r="B43" s="65"/>
      <c r="C43" s="59" t="s">
        <v>23</v>
      </c>
      <c r="D43" s="60" t="s">
        <v>66</v>
      </c>
      <c r="E43" s="61"/>
      <c r="F43" s="61"/>
      <c r="G43" s="62">
        <f aca="true" t="shared" si="6" ref="G43:G56">F43-E43</f>
        <v>0</v>
      </c>
      <c r="H43" s="63" t="e">
        <f aca="true" t="shared" si="7" ref="H43:H56">F43/E43</f>
        <v>#DIV/0!</v>
      </c>
      <c r="I43" s="61">
        <v>57591300</v>
      </c>
      <c r="J43" s="61"/>
      <c r="K43" s="61"/>
      <c r="L43" s="61">
        <f t="shared" si="5"/>
        <v>0</v>
      </c>
      <c r="M43" s="63" t="e">
        <f t="shared" si="3"/>
        <v>#DIV/0!</v>
      </c>
      <c r="N43" s="61">
        <f aca="true" t="shared" si="8" ref="N43:N56">K43-I43</f>
        <v>-57591300</v>
      </c>
      <c r="O43" s="63">
        <f t="shared" si="0"/>
        <v>0</v>
      </c>
      <c r="P43" s="61">
        <f aca="true" t="shared" si="9" ref="P43:P56">K43-F43</f>
        <v>0</v>
      </c>
      <c r="Q43" s="67"/>
    </row>
    <row r="44" spans="1:17" ht="57" customHeight="1" hidden="1" outlineLevel="4">
      <c r="A44" s="64" t="s">
        <v>67</v>
      </c>
      <c r="B44" s="65"/>
      <c r="C44" s="59" t="s">
        <v>68</v>
      </c>
      <c r="D44" s="60" t="s">
        <v>67</v>
      </c>
      <c r="E44" s="61"/>
      <c r="F44" s="61"/>
      <c r="G44" s="62">
        <f t="shared" si="6"/>
        <v>0</v>
      </c>
      <c r="H44" s="63" t="e">
        <f t="shared" si="7"/>
        <v>#DIV/0!</v>
      </c>
      <c r="I44" s="61">
        <v>57591300</v>
      </c>
      <c r="J44" s="61"/>
      <c r="K44" s="61"/>
      <c r="L44" s="61">
        <f t="shared" si="5"/>
        <v>0</v>
      </c>
      <c r="M44" s="63" t="e">
        <f t="shared" si="3"/>
        <v>#DIV/0!</v>
      </c>
      <c r="N44" s="61">
        <f t="shared" si="8"/>
        <v>-57591300</v>
      </c>
      <c r="O44" s="63">
        <f t="shared" si="0"/>
        <v>0</v>
      </c>
      <c r="P44" s="61">
        <f t="shared" si="9"/>
        <v>0</v>
      </c>
      <c r="Q44" s="67"/>
    </row>
    <row r="45" spans="1:17" ht="57" customHeight="1" hidden="1" outlineLevel="5">
      <c r="A45" s="64" t="s">
        <v>67</v>
      </c>
      <c r="B45" s="65"/>
      <c r="C45" s="59" t="s">
        <v>69</v>
      </c>
      <c r="D45" s="60" t="s">
        <v>67</v>
      </c>
      <c r="E45" s="61"/>
      <c r="F45" s="61"/>
      <c r="G45" s="62">
        <f t="shared" si="6"/>
        <v>0</v>
      </c>
      <c r="H45" s="63" t="e">
        <f t="shared" si="7"/>
        <v>#DIV/0!</v>
      </c>
      <c r="I45" s="61">
        <v>57591300</v>
      </c>
      <c r="J45" s="61"/>
      <c r="K45" s="61"/>
      <c r="L45" s="61">
        <f t="shared" si="5"/>
        <v>0</v>
      </c>
      <c r="M45" s="63" t="e">
        <f t="shared" si="3"/>
        <v>#DIV/0!</v>
      </c>
      <c r="N45" s="61">
        <f t="shared" si="8"/>
        <v>-57591300</v>
      </c>
      <c r="O45" s="63">
        <f t="shared" si="0"/>
        <v>0</v>
      </c>
      <c r="P45" s="61">
        <f t="shared" si="9"/>
        <v>0</v>
      </c>
      <c r="Q45" s="67"/>
    </row>
    <row r="46" spans="1:17" ht="57" customHeight="1" hidden="1" outlineLevel="5">
      <c r="A46" s="64" t="s">
        <v>70</v>
      </c>
      <c r="B46" s="65"/>
      <c r="C46" s="59" t="s">
        <v>69</v>
      </c>
      <c r="D46" s="60" t="s">
        <v>70</v>
      </c>
      <c r="E46" s="61"/>
      <c r="F46" s="61"/>
      <c r="G46" s="62">
        <f t="shared" si="6"/>
        <v>0</v>
      </c>
      <c r="H46" s="63" t="e">
        <f t="shared" si="7"/>
        <v>#DIV/0!</v>
      </c>
      <c r="I46" s="61">
        <v>0</v>
      </c>
      <c r="J46" s="61"/>
      <c r="K46" s="61"/>
      <c r="L46" s="61">
        <f t="shared" si="5"/>
        <v>0</v>
      </c>
      <c r="M46" s="63" t="e">
        <f t="shared" si="3"/>
        <v>#DIV/0!</v>
      </c>
      <c r="N46" s="61">
        <f t="shared" si="8"/>
        <v>0</v>
      </c>
      <c r="O46" s="63" t="e">
        <f t="shared" si="0"/>
        <v>#DIV/0!</v>
      </c>
      <c r="P46" s="61">
        <f t="shared" si="9"/>
        <v>0</v>
      </c>
      <c r="Q46" s="67"/>
    </row>
    <row r="47" spans="1:17" ht="57" customHeight="1" hidden="1" outlineLevel="5">
      <c r="A47" s="64" t="s">
        <v>71</v>
      </c>
      <c r="B47" s="65"/>
      <c r="C47" s="59" t="s">
        <v>69</v>
      </c>
      <c r="D47" s="60" t="s">
        <v>71</v>
      </c>
      <c r="E47" s="61"/>
      <c r="F47" s="61"/>
      <c r="G47" s="62">
        <f t="shared" si="6"/>
        <v>0</v>
      </c>
      <c r="H47" s="63" t="e">
        <f t="shared" si="7"/>
        <v>#DIV/0!</v>
      </c>
      <c r="I47" s="61">
        <v>0</v>
      </c>
      <c r="J47" s="61"/>
      <c r="K47" s="61"/>
      <c r="L47" s="61">
        <f t="shared" si="5"/>
        <v>0</v>
      </c>
      <c r="M47" s="63" t="e">
        <f t="shared" si="3"/>
        <v>#DIV/0!</v>
      </c>
      <c r="N47" s="61">
        <f t="shared" si="8"/>
        <v>0</v>
      </c>
      <c r="O47" s="63" t="e">
        <f t="shared" si="0"/>
        <v>#DIV/0!</v>
      </c>
      <c r="P47" s="61">
        <f t="shared" si="9"/>
        <v>0</v>
      </c>
      <c r="Q47" s="67"/>
    </row>
    <row r="48" spans="1:17" ht="57" customHeight="1" hidden="1" outlineLevel="5">
      <c r="A48" s="64" t="s">
        <v>72</v>
      </c>
      <c r="B48" s="65"/>
      <c r="C48" s="59" t="s">
        <v>69</v>
      </c>
      <c r="D48" s="60" t="s">
        <v>72</v>
      </c>
      <c r="E48" s="61"/>
      <c r="F48" s="61"/>
      <c r="G48" s="62">
        <f t="shared" si="6"/>
        <v>0</v>
      </c>
      <c r="H48" s="63" t="e">
        <f t="shared" si="7"/>
        <v>#DIV/0!</v>
      </c>
      <c r="I48" s="61">
        <v>0</v>
      </c>
      <c r="J48" s="61"/>
      <c r="K48" s="61"/>
      <c r="L48" s="61">
        <f t="shared" si="5"/>
        <v>0</v>
      </c>
      <c r="M48" s="63" t="e">
        <f t="shared" si="3"/>
        <v>#DIV/0!</v>
      </c>
      <c r="N48" s="61">
        <f t="shared" si="8"/>
        <v>0</v>
      </c>
      <c r="O48" s="63" t="e">
        <f t="shared" si="0"/>
        <v>#DIV/0!</v>
      </c>
      <c r="P48" s="61">
        <f t="shared" si="9"/>
        <v>0</v>
      </c>
      <c r="Q48" s="67"/>
    </row>
    <row r="49" spans="1:17" ht="15" customHeight="1" hidden="1" outlineLevel="3">
      <c r="A49" s="64" t="s">
        <v>73</v>
      </c>
      <c r="B49" s="65"/>
      <c r="C49" s="59" t="s">
        <v>23</v>
      </c>
      <c r="D49" s="60" t="s">
        <v>73</v>
      </c>
      <c r="E49" s="61"/>
      <c r="F49" s="61"/>
      <c r="G49" s="62">
        <f t="shared" si="6"/>
        <v>0</v>
      </c>
      <c r="H49" s="63" t="e">
        <f t="shared" si="7"/>
        <v>#DIV/0!</v>
      </c>
      <c r="I49" s="61">
        <v>0</v>
      </c>
      <c r="J49" s="61"/>
      <c r="K49" s="61"/>
      <c r="L49" s="61">
        <f t="shared" si="5"/>
        <v>0</v>
      </c>
      <c r="M49" s="63" t="e">
        <f t="shared" si="3"/>
        <v>#DIV/0!</v>
      </c>
      <c r="N49" s="61">
        <f t="shared" si="8"/>
        <v>0</v>
      </c>
      <c r="O49" s="63" t="e">
        <f t="shared" si="0"/>
        <v>#DIV/0!</v>
      </c>
      <c r="P49" s="61">
        <f t="shared" si="9"/>
        <v>0</v>
      </c>
      <c r="Q49" s="67"/>
    </row>
    <row r="50" spans="1:17" ht="99.75" customHeight="1" hidden="1" outlineLevel="4">
      <c r="A50" s="64" t="s">
        <v>74</v>
      </c>
      <c r="B50" s="65"/>
      <c r="C50" s="59" t="s">
        <v>75</v>
      </c>
      <c r="D50" s="60" t="s">
        <v>74</v>
      </c>
      <c r="E50" s="61"/>
      <c r="F50" s="61"/>
      <c r="G50" s="62">
        <f t="shared" si="6"/>
        <v>0</v>
      </c>
      <c r="H50" s="63" t="e">
        <f t="shared" si="7"/>
        <v>#DIV/0!</v>
      </c>
      <c r="I50" s="61">
        <v>0</v>
      </c>
      <c r="J50" s="61"/>
      <c r="K50" s="61"/>
      <c r="L50" s="61">
        <f t="shared" si="5"/>
        <v>0</v>
      </c>
      <c r="M50" s="63" t="e">
        <f t="shared" si="3"/>
        <v>#DIV/0!</v>
      </c>
      <c r="N50" s="61">
        <f t="shared" si="8"/>
        <v>0</v>
      </c>
      <c r="O50" s="63" t="e">
        <f t="shared" si="0"/>
        <v>#DIV/0!</v>
      </c>
      <c r="P50" s="61">
        <f t="shared" si="9"/>
        <v>0</v>
      </c>
      <c r="Q50" s="67"/>
    </row>
    <row r="51" spans="1:17" ht="99.75" customHeight="1" hidden="1" outlineLevel="5">
      <c r="A51" s="64" t="s">
        <v>76</v>
      </c>
      <c r="B51" s="65"/>
      <c r="C51" s="59" t="s">
        <v>77</v>
      </c>
      <c r="D51" s="60" t="s">
        <v>76</v>
      </c>
      <c r="E51" s="61"/>
      <c r="F51" s="61"/>
      <c r="G51" s="62">
        <f t="shared" si="6"/>
        <v>0</v>
      </c>
      <c r="H51" s="63" t="e">
        <f t="shared" si="7"/>
        <v>#DIV/0!</v>
      </c>
      <c r="I51" s="61">
        <v>0</v>
      </c>
      <c r="J51" s="61"/>
      <c r="K51" s="61"/>
      <c r="L51" s="61">
        <f t="shared" si="5"/>
        <v>0</v>
      </c>
      <c r="M51" s="63" t="e">
        <f t="shared" si="3"/>
        <v>#DIV/0!</v>
      </c>
      <c r="N51" s="61">
        <f t="shared" si="8"/>
        <v>0</v>
      </c>
      <c r="O51" s="63" t="e">
        <f t="shared" si="0"/>
        <v>#DIV/0!</v>
      </c>
      <c r="P51" s="61">
        <f t="shared" si="9"/>
        <v>0</v>
      </c>
      <c r="Q51" s="67"/>
    </row>
    <row r="52" spans="1:17" ht="18.75" customHeight="1" outlineLevel="2" collapsed="1">
      <c r="A52" s="64" t="s">
        <v>78</v>
      </c>
      <c r="B52" s="65" t="s">
        <v>79</v>
      </c>
      <c r="C52" s="59" t="s">
        <v>80</v>
      </c>
      <c r="D52" s="60" t="s">
        <v>78</v>
      </c>
      <c r="E52" s="62">
        <v>63052.38</v>
      </c>
      <c r="F52" s="62">
        <v>63055.66</v>
      </c>
      <c r="G52" s="62">
        <f t="shared" si="6"/>
        <v>3.280000000006112</v>
      </c>
      <c r="H52" s="63">
        <f t="shared" si="7"/>
        <v>1.000052020240949</v>
      </c>
      <c r="I52" s="61">
        <v>63000</v>
      </c>
      <c r="J52" s="61"/>
      <c r="K52" s="62">
        <v>17679</v>
      </c>
      <c r="L52" s="61">
        <f t="shared" si="5"/>
        <v>17679</v>
      </c>
      <c r="M52" s="63">
        <f t="shared" si="3"/>
        <v>19207.317073134942</v>
      </c>
      <c r="N52" s="61">
        <f t="shared" si="8"/>
        <v>-45321</v>
      </c>
      <c r="O52" s="63">
        <f t="shared" si="0"/>
        <v>0.2806190476190476</v>
      </c>
      <c r="P52" s="61">
        <f t="shared" si="9"/>
        <v>-45376.66</v>
      </c>
      <c r="Q52" s="67"/>
    </row>
    <row r="53" spans="1:17" ht="15" customHeight="1" hidden="1" outlineLevel="3">
      <c r="A53" s="64" t="s">
        <v>81</v>
      </c>
      <c r="B53" s="65"/>
      <c r="C53" s="59" t="s">
        <v>23</v>
      </c>
      <c r="D53" s="60" t="s">
        <v>81</v>
      </c>
      <c r="E53" s="61"/>
      <c r="F53" s="61"/>
      <c r="G53" s="62">
        <f t="shared" si="6"/>
        <v>0</v>
      </c>
      <c r="H53" s="63" t="e">
        <f t="shared" si="7"/>
        <v>#DIV/0!</v>
      </c>
      <c r="I53" s="61"/>
      <c r="J53" s="61"/>
      <c r="K53" s="61"/>
      <c r="L53" s="61">
        <f t="shared" si="5"/>
        <v>0</v>
      </c>
      <c r="M53" s="63" t="e">
        <f t="shared" si="3"/>
        <v>#DIV/0!</v>
      </c>
      <c r="N53" s="61">
        <f t="shared" si="8"/>
        <v>0</v>
      </c>
      <c r="O53" s="63" t="e">
        <f t="shared" si="0"/>
        <v>#DIV/0!</v>
      </c>
      <c r="P53" s="61">
        <f t="shared" si="9"/>
        <v>0</v>
      </c>
      <c r="Q53" s="68"/>
    </row>
    <row r="54" spans="1:17" ht="42.75" customHeight="1" hidden="1" outlineLevel="4">
      <c r="A54" s="64" t="s">
        <v>82</v>
      </c>
      <c r="B54" s="65"/>
      <c r="C54" s="59" t="s">
        <v>83</v>
      </c>
      <c r="D54" s="60" t="s">
        <v>82</v>
      </c>
      <c r="E54" s="61"/>
      <c r="F54" s="61"/>
      <c r="G54" s="62">
        <f t="shared" si="6"/>
        <v>0</v>
      </c>
      <c r="H54" s="63" t="e">
        <f t="shared" si="7"/>
        <v>#DIV/0!</v>
      </c>
      <c r="I54" s="61"/>
      <c r="J54" s="61"/>
      <c r="K54" s="61"/>
      <c r="L54" s="61">
        <f t="shared" si="5"/>
        <v>0</v>
      </c>
      <c r="M54" s="63" t="e">
        <f t="shared" si="3"/>
        <v>#DIV/0!</v>
      </c>
      <c r="N54" s="61">
        <f t="shared" si="8"/>
        <v>0</v>
      </c>
      <c r="O54" s="63" t="e">
        <f t="shared" si="0"/>
        <v>#DIV/0!</v>
      </c>
      <c r="P54" s="61">
        <f t="shared" si="9"/>
        <v>0</v>
      </c>
      <c r="Q54" s="68"/>
    </row>
    <row r="55" spans="1:17" ht="42.75" customHeight="1" hidden="1" outlineLevel="5">
      <c r="A55" s="64" t="s">
        <v>82</v>
      </c>
      <c r="B55" s="65"/>
      <c r="C55" s="59" t="s">
        <v>84</v>
      </c>
      <c r="D55" s="60" t="s">
        <v>82</v>
      </c>
      <c r="E55" s="61"/>
      <c r="F55" s="61"/>
      <c r="G55" s="62">
        <f t="shared" si="6"/>
        <v>0</v>
      </c>
      <c r="H55" s="63" t="e">
        <f t="shared" si="7"/>
        <v>#DIV/0!</v>
      </c>
      <c r="I55" s="61"/>
      <c r="J55" s="61"/>
      <c r="K55" s="61"/>
      <c r="L55" s="61">
        <f t="shared" si="5"/>
        <v>0</v>
      </c>
      <c r="M55" s="63" t="e">
        <f t="shared" si="3"/>
        <v>#DIV/0!</v>
      </c>
      <c r="N55" s="61">
        <f t="shared" si="8"/>
        <v>0</v>
      </c>
      <c r="O55" s="63" t="e">
        <f t="shared" si="0"/>
        <v>#DIV/0!</v>
      </c>
      <c r="P55" s="61">
        <f t="shared" si="9"/>
        <v>0</v>
      </c>
      <c r="Q55" s="68"/>
    </row>
    <row r="56" spans="1:17" ht="30" customHeight="1" outlineLevel="2" collapsed="1">
      <c r="A56" s="64" t="s">
        <v>85</v>
      </c>
      <c r="B56" s="65" t="s">
        <v>86</v>
      </c>
      <c r="C56" s="59" t="s">
        <v>87</v>
      </c>
      <c r="D56" s="60" t="s">
        <v>85</v>
      </c>
      <c r="E56" s="61">
        <v>12541592.9</v>
      </c>
      <c r="F56" s="61">
        <v>5299457.1</v>
      </c>
      <c r="G56" s="62">
        <f t="shared" si="6"/>
        <v>-7242135.800000001</v>
      </c>
      <c r="H56" s="63">
        <f t="shared" si="7"/>
        <v>0.42255055974588357</v>
      </c>
      <c r="I56" s="61">
        <v>12500000</v>
      </c>
      <c r="J56" s="61">
        <v>562898</v>
      </c>
      <c r="K56" s="61">
        <f>3261748.91-6233.42-35780.35+20986.12</f>
        <v>3240721.2600000002</v>
      </c>
      <c r="L56" s="61">
        <f t="shared" si="5"/>
        <v>2677823.2600000002</v>
      </c>
      <c r="M56" s="63">
        <f t="shared" si="3"/>
        <v>-1.726010164018189</v>
      </c>
      <c r="N56" s="61">
        <f t="shared" si="8"/>
        <v>-9259278.74</v>
      </c>
      <c r="O56" s="63">
        <f t="shared" si="0"/>
        <v>0.25925770080000005</v>
      </c>
      <c r="P56" s="61">
        <f t="shared" si="9"/>
        <v>-2058735.8399999994</v>
      </c>
      <c r="Q56" s="66"/>
    </row>
    <row r="57" spans="1:17" ht="15" customHeight="1" hidden="1" outlineLevel="3">
      <c r="A57" s="64" t="s">
        <v>88</v>
      </c>
      <c r="B57" s="65"/>
      <c r="C57" s="59" t="s">
        <v>23</v>
      </c>
      <c r="D57" s="60" t="s">
        <v>88</v>
      </c>
      <c r="E57" s="61">
        <v>401120</v>
      </c>
      <c r="F57" s="61">
        <v>401120</v>
      </c>
      <c r="G57" s="62"/>
      <c r="H57" s="63" t="e">
        <f>E57/#REF!</f>
        <v>#REF!</v>
      </c>
      <c r="I57" s="61">
        <v>8300000</v>
      </c>
      <c r="J57" s="61"/>
      <c r="K57" s="61">
        <v>401120</v>
      </c>
      <c r="L57" s="61"/>
      <c r="M57" s="63" t="e">
        <f t="shared" si="3"/>
        <v>#DIV/0!</v>
      </c>
      <c r="N57" s="61"/>
      <c r="O57" s="63">
        <f t="shared" si="0"/>
        <v>0.04832771084337349</v>
      </c>
      <c r="P57" s="61" t="e">
        <f>E57-#REF!</f>
        <v>#REF!</v>
      </c>
      <c r="Q57" s="68"/>
    </row>
    <row r="58" spans="1:17" ht="85.5" customHeight="1" hidden="1" outlineLevel="4">
      <c r="A58" s="64" t="s">
        <v>89</v>
      </c>
      <c r="B58" s="65"/>
      <c r="C58" s="59" t="s">
        <v>90</v>
      </c>
      <c r="D58" s="60" t="s">
        <v>89</v>
      </c>
      <c r="E58" s="61">
        <v>0</v>
      </c>
      <c r="F58" s="61">
        <v>401120</v>
      </c>
      <c r="G58" s="62"/>
      <c r="H58" s="63" t="e">
        <f>E58/#REF!</f>
        <v>#REF!</v>
      </c>
      <c r="I58" s="61">
        <v>8300000</v>
      </c>
      <c r="J58" s="61"/>
      <c r="K58" s="61">
        <v>401120</v>
      </c>
      <c r="L58" s="61"/>
      <c r="M58" s="63" t="e">
        <f t="shared" si="3"/>
        <v>#DIV/0!</v>
      </c>
      <c r="N58" s="61"/>
      <c r="O58" s="63">
        <f t="shared" si="0"/>
        <v>0.04832771084337349</v>
      </c>
      <c r="P58" s="61" t="e">
        <f>E58-#REF!</f>
        <v>#REF!</v>
      </c>
      <c r="Q58" s="68"/>
    </row>
    <row r="59" spans="1:17" ht="99.75" customHeight="1" hidden="1" outlineLevel="5">
      <c r="A59" s="64" t="s">
        <v>89</v>
      </c>
      <c r="B59" s="65"/>
      <c r="C59" s="59" t="s">
        <v>91</v>
      </c>
      <c r="D59" s="60" t="s">
        <v>89</v>
      </c>
      <c r="E59" s="61">
        <v>401106.8</v>
      </c>
      <c r="F59" s="61">
        <v>0</v>
      </c>
      <c r="G59" s="62"/>
      <c r="H59" s="63" t="e">
        <f>E59/#REF!</f>
        <v>#REF!</v>
      </c>
      <c r="I59" s="61">
        <v>8300000</v>
      </c>
      <c r="J59" s="61"/>
      <c r="K59" s="61">
        <v>0</v>
      </c>
      <c r="L59" s="61"/>
      <c r="M59" s="63" t="e">
        <f t="shared" si="3"/>
        <v>#DIV/0!</v>
      </c>
      <c r="N59" s="61"/>
      <c r="O59" s="63">
        <f t="shared" si="0"/>
        <v>0</v>
      </c>
      <c r="P59" s="61" t="e">
        <f>E59-#REF!</f>
        <v>#REF!</v>
      </c>
      <c r="Q59" s="68"/>
    </row>
    <row r="60" spans="1:17" ht="99.75" customHeight="1" hidden="1" outlineLevel="5">
      <c r="A60" s="64" t="s">
        <v>92</v>
      </c>
      <c r="B60" s="65"/>
      <c r="C60" s="59" t="s">
        <v>91</v>
      </c>
      <c r="D60" s="60" t="s">
        <v>92</v>
      </c>
      <c r="E60" s="61">
        <v>13.2</v>
      </c>
      <c r="F60" s="61">
        <v>401106.8</v>
      </c>
      <c r="G60" s="62"/>
      <c r="H60" s="63" t="e">
        <f>E60/#REF!</f>
        <v>#REF!</v>
      </c>
      <c r="I60" s="61">
        <v>0</v>
      </c>
      <c r="J60" s="61"/>
      <c r="K60" s="61">
        <v>401106.8</v>
      </c>
      <c r="L60" s="61"/>
      <c r="M60" s="63" t="e">
        <f t="shared" si="3"/>
        <v>#DIV/0!</v>
      </c>
      <c r="N60" s="61"/>
      <c r="O60" s="63" t="e">
        <f t="shared" si="0"/>
        <v>#DIV/0!</v>
      </c>
      <c r="P60" s="61" t="e">
        <f>E60-#REF!</f>
        <v>#REF!</v>
      </c>
      <c r="Q60" s="68"/>
    </row>
    <row r="61" spans="1:17" ht="99.75" customHeight="1" hidden="1" outlineLevel="5">
      <c r="A61" s="64" t="s">
        <v>93</v>
      </c>
      <c r="B61" s="65"/>
      <c r="C61" s="59" t="s">
        <v>91</v>
      </c>
      <c r="D61" s="60" t="s">
        <v>93</v>
      </c>
      <c r="E61" s="51">
        <f>E62+E63+E64</f>
        <v>172244710.82</v>
      </c>
      <c r="F61" s="61">
        <v>13.2</v>
      </c>
      <c r="G61" s="62"/>
      <c r="H61" s="63" t="e">
        <f>E61/#REF!</f>
        <v>#REF!</v>
      </c>
      <c r="I61" s="61">
        <v>0</v>
      </c>
      <c r="J61" s="61"/>
      <c r="K61" s="61">
        <v>13.2</v>
      </c>
      <c r="L61" s="61"/>
      <c r="M61" s="63" t="e">
        <f t="shared" si="3"/>
        <v>#DIV/0!</v>
      </c>
      <c r="N61" s="61"/>
      <c r="O61" s="63" t="e">
        <f t="shared" si="0"/>
        <v>#DIV/0!</v>
      </c>
      <c r="P61" s="61" t="e">
        <f>E61-#REF!</f>
        <v>#REF!</v>
      </c>
      <c r="Q61" s="68"/>
    </row>
    <row r="62" spans="1:17" s="32" customFormat="1" ht="22.5" customHeight="1" outlineLevel="1" collapsed="1">
      <c r="A62" s="24" t="s">
        <v>94</v>
      </c>
      <c r="B62" s="48" t="s">
        <v>95</v>
      </c>
      <c r="C62" s="49" t="s">
        <v>96</v>
      </c>
      <c r="D62" s="50" t="s">
        <v>94</v>
      </c>
      <c r="E62" s="51">
        <f>E63+E64+E65</f>
        <v>95317580.9</v>
      </c>
      <c r="F62" s="51">
        <f>F63+F64+F65</f>
        <v>30004449.56</v>
      </c>
      <c r="G62" s="58">
        <f>F62-E62</f>
        <v>-65313131.34</v>
      </c>
      <c r="H62" s="54">
        <f aca="true" t="shared" si="10" ref="H62:H72">F62/E62</f>
        <v>0.3147840018252078</v>
      </c>
      <c r="I62" s="51">
        <f>I63+I64+I65</f>
        <v>75916097.63</v>
      </c>
      <c r="J62" s="51">
        <f>J63+J64+J65</f>
        <v>3543302</v>
      </c>
      <c r="K62" s="51">
        <f>K63+K64+K65</f>
        <v>15624137.1</v>
      </c>
      <c r="L62" s="51">
        <f>K62-J62</f>
        <v>12080835.1</v>
      </c>
      <c r="M62" s="54">
        <f t="shared" si="3"/>
        <v>-1.1623404983418146</v>
      </c>
      <c r="N62" s="51">
        <f>N63+N64+N65</f>
        <v>-60291960.53</v>
      </c>
      <c r="O62" s="54">
        <f t="shared" si="0"/>
        <v>0.20580795888836312</v>
      </c>
      <c r="P62" s="51">
        <f aca="true" t="shared" si="11" ref="P62:P72">K62-F62</f>
        <v>-14380312.459999999</v>
      </c>
      <c r="Q62" s="149" t="s">
        <v>267</v>
      </c>
    </row>
    <row r="63" spans="1:17" ht="28.5" outlineLevel="2">
      <c r="A63" s="64" t="s">
        <v>97</v>
      </c>
      <c r="B63" s="65" t="s">
        <v>98</v>
      </c>
      <c r="C63" s="59" t="s">
        <v>99</v>
      </c>
      <c r="D63" s="60" t="s">
        <v>97</v>
      </c>
      <c r="E63" s="61">
        <v>14947482.35</v>
      </c>
      <c r="F63" s="61">
        <v>1282769.72</v>
      </c>
      <c r="G63" s="62">
        <f>F63-E63</f>
        <v>-13664712.629999999</v>
      </c>
      <c r="H63" s="63">
        <f t="shared" si="10"/>
        <v>0.08581844687710904</v>
      </c>
      <c r="I63" s="61">
        <v>11900000</v>
      </c>
      <c r="J63" s="61">
        <v>80000</v>
      </c>
      <c r="K63" s="61">
        <f>1402793.66+1400+26906.16+2710.46</f>
        <v>1433810.2799999998</v>
      </c>
      <c r="L63" s="61">
        <f>K63-J63</f>
        <v>1353810.2799999998</v>
      </c>
      <c r="M63" s="63">
        <f t="shared" si="3"/>
        <v>-0.8708562208527031</v>
      </c>
      <c r="N63" s="61">
        <f>K63-I63</f>
        <v>-10466189.72</v>
      </c>
      <c r="O63" s="63">
        <f t="shared" si="0"/>
        <v>0.1204882588235294</v>
      </c>
      <c r="P63" s="61">
        <f t="shared" si="11"/>
        <v>151040.55999999982</v>
      </c>
      <c r="Q63" s="66"/>
    </row>
    <row r="64" spans="1:17" ht="42" customHeight="1" outlineLevel="4">
      <c r="A64" s="64" t="s">
        <v>100</v>
      </c>
      <c r="B64" s="65" t="s">
        <v>101</v>
      </c>
      <c r="C64" s="59" t="s">
        <v>102</v>
      </c>
      <c r="D64" s="60" t="s">
        <v>100</v>
      </c>
      <c r="E64" s="61">
        <v>61979647.57</v>
      </c>
      <c r="F64" s="61">
        <v>27665183.85</v>
      </c>
      <c r="G64" s="62">
        <f>F64-E64</f>
        <v>-34314463.72</v>
      </c>
      <c r="H64" s="63">
        <f t="shared" si="10"/>
        <v>0.4463591668338362</v>
      </c>
      <c r="I64" s="61">
        <v>47016097.63</v>
      </c>
      <c r="J64" s="61">
        <v>3011857</v>
      </c>
      <c r="K64" s="61">
        <f>6050092.95+5797887.86+473228.98</f>
        <v>12321209.790000001</v>
      </c>
      <c r="L64" s="61">
        <f>K64-J64</f>
        <v>9309352.790000001</v>
      </c>
      <c r="M64" s="63">
        <f t="shared" si="3"/>
        <v>-1.3701539389816233</v>
      </c>
      <c r="N64" s="61">
        <f>K64-I64</f>
        <v>-34694887.84</v>
      </c>
      <c r="O64" s="63">
        <f t="shared" si="0"/>
        <v>0.2620636422649014</v>
      </c>
      <c r="P64" s="61">
        <f t="shared" si="11"/>
        <v>-15343974.06</v>
      </c>
      <c r="Q64" s="66"/>
    </row>
    <row r="65" spans="1:17" ht="56.25" customHeight="1" outlineLevel="4">
      <c r="A65" s="64" t="s">
        <v>103</v>
      </c>
      <c r="B65" s="65" t="s">
        <v>104</v>
      </c>
      <c r="C65" s="59" t="s">
        <v>105</v>
      </c>
      <c r="D65" s="60" t="s">
        <v>103</v>
      </c>
      <c r="E65" s="61">
        <v>18390450.98</v>
      </c>
      <c r="F65" s="61">
        <v>1056495.99</v>
      </c>
      <c r="G65" s="62">
        <f>F65-E65</f>
        <v>-17333954.990000002</v>
      </c>
      <c r="H65" s="63">
        <f t="shared" si="10"/>
        <v>0.05744807406566383</v>
      </c>
      <c r="I65" s="61">
        <v>17000000</v>
      </c>
      <c r="J65" s="61">
        <v>451445</v>
      </c>
      <c r="K65" s="61">
        <f>1834144.92+462+31169.11+3341</f>
        <v>1869117.03</v>
      </c>
      <c r="L65" s="61">
        <f>K65-J65</f>
        <v>1417672.03</v>
      </c>
      <c r="M65" s="63">
        <f t="shared" si="3"/>
        <v>-0.9807340569308816</v>
      </c>
      <c r="N65" s="61">
        <f>K65-I65</f>
        <v>-15130882.97</v>
      </c>
      <c r="O65" s="63">
        <f t="shared" si="0"/>
        <v>0.1099480605882353</v>
      </c>
      <c r="P65" s="61">
        <f t="shared" si="11"/>
        <v>812621.04</v>
      </c>
      <c r="Q65" s="66"/>
    </row>
    <row r="66" spans="1:17" s="32" customFormat="1" ht="32.25" customHeight="1" outlineLevel="1">
      <c r="A66" s="24" t="s">
        <v>106</v>
      </c>
      <c r="B66" s="48" t="s">
        <v>107</v>
      </c>
      <c r="C66" s="49" t="s">
        <v>108</v>
      </c>
      <c r="D66" s="50" t="s">
        <v>106</v>
      </c>
      <c r="E66" s="51">
        <f>E67+E72</f>
        <v>10536108.33</v>
      </c>
      <c r="F66" s="51">
        <f>F67+F72</f>
        <v>3520857.36</v>
      </c>
      <c r="G66" s="58">
        <f>G67+G72</f>
        <v>-7015250.970000001</v>
      </c>
      <c r="H66" s="54">
        <f t="shared" si="10"/>
        <v>0.3341705732063216</v>
      </c>
      <c r="I66" s="51">
        <f>I67+I72</f>
        <v>11535000</v>
      </c>
      <c r="J66" s="51">
        <f>J67+J72</f>
        <v>605206</v>
      </c>
      <c r="K66" s="51">
        <f>K67+K72</f>
        <v>3262711.3100000005</v>
      </c>
      <c r="L66" s="51">
        <f>K66-J66</f>
        <v>2657505.3100000005</v>
      </c>
      <c r="M66" s="54">
        <f t="shared" si="3"/>
        <v>-1.644274745027404</v>
      </c>
      <c r="N66" s="51">
        <f>N67+N72</f>
        <v>-8272288.6899999995</v>
      </c>
      <c r="O66" s="54">
        <f t="shared" si="0"/>
        <v>0.28285316948417866</v>
      </c>
      <c r="P66" s="51">
        <f t="shared" si="11"/>
        <v>-258146.04999999935</v>
      </c>
      <c r="Q66" s="56"/>
    </row>
    <row r="67" spans="1:17" ht="91.5" customHeight="1" outlineLevel="2">
      <c r="A67" s="64" t="s">
        <v>109</v>
      </c>
      <c r="B67" s="65" t="s">
        <v>110</v>
      </c>
      <c r="C67" s="59" t="s">
        <v>111</v>
      </c>
      <c r="D67" s="60" t="s">
        <v>109</v>
      </c>
      <c r="E67" s="61">
        <v>10431108.33</v>
      </c>
      <c r="F67" s="61">
        <v>3490857.36</v>
      </c>
      <c r="G67" s="62">
        <f aca="true" t="shared" si="12" ref="G67:G72">F67-E67</f>
        <v>-6940250.970000001</v>
      </c>
      <c r="H67" s="63">
        <f t="shared" si="10"/>
        <v>0.3346583363495756</v>
      </c>
      <c r="I67" s="61">
        <v>11500000</v>
      </c>
      <c r="J67" s="61">
        <v>605206</v>
      </c>
      <c r="K67" s="61">
        <f>3160101.37+24585.7+44853.75+33170.49</f>
        <v>3262711.3100000005</v>
      </c>
      <c r="L67" s="61">
        <f>K67-J67</f>
        <v>2657505.3100000005</v>
      </c>
      <c r="M67" s="63">
        <f t="shared" si="3"/>
        <v>-1.6570005969106905</v>
      </c>
      <c r="N67" s="61">
        <f aca="true" t="shared" si="13" ref="N67:N72">K67-I67</f>
        <v>-8237288.6899999995</v>
      </c>
      <c r="O67" s="63">
        <f t="shared" si="0"/>
        <v>0.28371402695652176</v>
      </c>
      <c r="P67" s="61">
        <f t="shared" si="11"/>
        <v>-228146.04999999935</v>
      </c>
      <c r="Q67" s="67"/>
    </row>
    <row r="68" spans="1:17" ht="15" customHeight="1" hidden="1" outlineLevel="3">
      <c r="A68" s="64" t="s">
        <v>112</v>
      </c>
      <c r="B68" s="65"/>
      <c r="C68" s="59" t="s">
        <v>23</v>
      </c>
      <c r="D68" s="60" t="s">
        <v>112</v>
      </c>
      <c r="E68" s="61"/>
      <c r="F68" s="61"/>
      <c r="G68" s="62">
        <f t="shared" si="12"/>
        <v>0</v>
      </c>
      <c r="H68" s="63" t="e">
        <f t="shared" si="10"/>
        <v>#DIV/0!</v>
      </c>
      <c r="I68" s="61"/>
      <c r="J68" s="61"/>
      <c r="K68" s="61"/>
      <c r="L68" s="61">
        <f>I68-G68</f>
        <v>0</v>
      </c>
      <c r="M68" s="63" t="e">
        <f t="shared" si="3"/>
        <v>#DIV/0!</v>
      </c>
      <c r="N68" s="61">
        <f t="shared" si="13"/>
        <v>0</v>
      </c>
      <c r="O68" s="63" t="e">
        <f t="shared" si="0"/>
        <v>#DIV/0!</v>
      </c>
      <c r="P68" s="61">
        <f t="shared" si="11"/>
        <v>0</v>
      </c>
      <c r="Q68" s="68"/>
    </row>
    <row r="69" spans="1:17" ht="114" customHeight="1" hidden="1" outlineLevel="4">
      <c r="A69" s="64" t="s">
        <v>113</v>
      </c>
      <c r="B69" s="65"/>
      <c r="C69" s="59" t="s">
        <v>114</v>
      </c>
      <c r="D69" s="60" t="s">
        <v>113</v>
      </c>
      <c r="E69" s="61"/>
      <c r="F69" s="61"/>
      <c r="G69" s="62">
        <f t="shared" si="12"/>
        <v>0</v>
      </c>
      <c r="H69" s="63" t="e">
        <f t="shared" si="10"/>
        <v>#DIV/0!</v>
      </c>
      <c r="I69" s="61"/>
      <c r="J69" s="61"/>
      <c r="K69" s="61"/>
      <c r="L69" s="61">
        <f>I69-G69</f>
        <v>0</v>
      </c>
      <c r="M69" s="63" t="e">
        <f t="shared" si="3"/>
        <v>#DIV/0!</v>
      </c>
      <c r="N69" s="61">
        <f t="shared" si="13"/>
        <v>0</v>
      </c>
      <c r="O69" s="63" t="e">
        <f t="shared" si="0"/>
        <v>#DIV/0!</v>
      </c>
      <c r="P69" s="61">
        <f t="shared" si="11"/>
        <v>0</v>
      </c>
      <c r="Q69" s="68"/>
    </row>
    <row r="70" spans="1:17" ht="128.25" customHeight="1" hidden="1" outlineLevel="5">
      <c r="A70" s="64" t="s">
        <v>113</v>
      </c>
      <c r="B70" s="65"/>
      <c r="C70" s="59" t="s">
        <v>115</v>
      </c>
      <c r="D70" s="60" t="s">
        <v>113</v>
      </c>
      <c r="E70" s="61"/>
      <c r="F70" s="61"/>
      <c r="G70" s="62">
        <f t="shared" si="12"/>
        <v>0</v>
      </c>
      <c r="H70" s="63" t="e">
        <f t="shared" si="10"/>
        <v>#DIV/0!</v>
      </c>
      <c r="I70" s="61"/>
      <c r="J70" s="61"/>
      <c r="K70" s="61"/>
      <c r="L70" s="61">
        <f>I70-G70</f>
        <v>0</v>
      </c>
      <c r="M70" s="63" t="e">
        <f t="shared" si="3"/>
        <v>#DIV/0!</v>
      </c>
      <c r="N70" s="61">
        <f t="shared" si="13"/>
        <v>0</v>
      </c>
      <c r="O70" s="63" t="e">
        <f t="shared" si="0"/>
        <v>#DIV/0!</v>
      </c>
      <c r="P70" s="61">
        <f t="shared" si="11"/>
        <v>0</v>
      </c>
      <c r="Q70" s="68"/>
    </row>
    <row r="71" spans="1:17" ht="171" customHeight="1" hidden="1" outlineLevel="5">
      <c r="A71" s="64" t="s">
        <v>116</v>
      </c>
      <c r="B71" s="65"/>
      <c r="C71" s="59" t="s">
        <v>117</v>
      </c>
      <c r="D71" s="60" t="s">
        <v>116</v>
      </c>
      <c r="E71" s="61"/>
      <c r="F71" s="61"/>
      <c r="G71" s="62">
        <f t="shared" si="12"/>
        <v>0</v>
      </c>
      <c r="H71" s="63" t="e">
        <f t="shared" si="10"/>
        <v>#DIV/0!</v>
      </c>
      <c r="I71" s="61"/>
      <c r="J71" s="61"/>
      <c r="K71" s="61"/>
      <c r="L71" s="61">
        <f>I71-G71</f>
        <v>0</v>
      </c>
      <c r="M71" s="63" t="e">
        <f t="shared" si="3"/>
        <v>#DIV/0!</v>
      </c>
      <c r="N71" s="61">
        <f t="shared" si="13"/>
        <v>0</v>
      </c>
      <c r="O71" s="63" t="e">
        <f t="shared" si="0"/>
        <v>#DIV/0!</v>
      </c>
      <c r="P71" s="61">
        <f t="shared" si="11"/>
        <v>0</v>
      </c>
      <c r="Q71" s="68"/>
    </row>
    <row r="72" spans="1:17" ht="78.75" customHeight="1" outlineLevel="2" collapsed="1">
      <c r="A72" s="64" t="s">
        <v>118</v>
      </c>
      <c r="B72" s="65" t="s">
        <v>119</v>
      </c>
      <c r="C72" s="59" t="s">
        <v>120</v>
      </c>
      <c r="D72" s="60" t="s">
        <v>118</v>
      </c>
      <c r="E72" s="62">
        <v>105000</v>
      </c>
      <c r="F72" s="62">
        <v>30000</v>
      </c>
      <c r="G72" s="62">
        <f t="shared" si="12"/>
        <v>-75000</v>
      </c>
      <c r="H72" s="63">
        <f t="shared" si="10"/>
        <v>0.2857142857142857</v>
      </c>
      <c r="I72" s="61">
        <v>35000</v>
      </c>
      <c r="J72" s="61"/>
      <c r="K72" s="62"/>
      <c r="L72" s="61">
        <f>K72-J72</f>
        <v>0</v>
      </c>
      <c r="M72" s="63">
        <f t="shared" si="3"/>
        <v>-0.4666666666666667</v>
      </c>
      <c r="N72" s="61">
        <f t="shared" si="13"/>
        <v>-35000</v>
      </c>
      <c r="O72" s="63">
        <f t="shared" si="0"/>
        <v>0</v>
      </c>
      <c r="P72" s="61">
        <f t="shared" si="11"/>
        <v>-30000</v>
      </c>
      <c r="Q72" s="66"/>
    </row>
    <row r="73" spans="1:17" ht="15" customHeight="1" hidden="1" outlineLevel="3">
      <c r="A73" s="64" t="s">
        <v>121</v>
      </c>
      <c r="B73" s="65"/>
      <c r="C73" s="59" t="s">
        <v>23</v>
      </c>
      <c r="D73" s="60" t="s">
        <v>121</v>
      </c>
      <c r="E73" s="61">
        <v>0</v>
      </c>
      <c r="F73" s="61">
        <v>0</v>
      </c>
      <c r="G73" s="62"/>
      <c r="H73" s="63" t="e">
        <f>E73/#REF!</f>
        <v>#REF!</v>
      </c>
      <c r="I73" s="61">
        <v>60000</v>
      </c>
      <c r="J73" s="61"/>
      <c r="K73" s="61">
        <v>0</v>
      </c>
      <c r="L73" s="61"/>
      <c r="M73" s="63" t="e">
        <f t="shared" si="3"/>
        <v>#DIV/0!</v>
      </c>
      <c r="N73" s="61"/>
      <c r="O73" s="63">
        <f t="shared" si="0"/>
        <v>0</v>
      </c>
      <c r="P73" s="61" t="e">
        <f>E73-#REF!</f>
        <v>#REF!</v>
      </c>
      <c r="Q73" s="68"/>
    </row>
    <row r="74" spans="1:17" ht="57" customHeight="1" hidden="1" outlineLevel="4">
      <c r="A74" s="64" t="s">
        <v>122</v>
      </c>
      <c r="B74" s="65"/>
      <c r="C74" s="59" t="s">
        <v>123</v>
      </c>
      <c r="D74" s="60" t="s">
        <v>122</v>
      </c>
      <c r="E74" s="61">
        <v>0</v>
      </c>
      <c r="F74" s="61">
        <v>0</v>
      </c>
      <c r="G74" s="62"/>
      <c r="H74" s="63" t="e">
        <f>E74/#REF!</f>
        <v>#REF!</v>
      </c>
      <c r="I74" s="61">
        <v>60000</v>
      </c>
      <c r="J74" s="61"/>
      <c r="K74" s="61">
        <v>0</v>
      </c>
      <c r="L74" s="61"/>
      <c r="M74" s="63" t="e">
        <f t="shared" si="3"/>
        <v>#DIV/0!</v>
      </c>
      <c r="N74" s="61"/>
      <c r="O74" s="63">
        <f t="shared" si="0"/>
        <v>0</v>
      </c>
      <c r="P74" s="61" t="e">
        <f>E74-#REF!</f>
        <v>#REF!</v>
      </c>
      <c r="Q74" s="68"/>
    </row>
    <row r="75" spans="1:17" ht="71.25" customHeight="1" hidden="1" outlineLevel="5">
      <c r="A75" s="64" t="s">
        <v>122</v>
      </c>
      <c r="B75" s="65"/>
      <c r="C75" s="59" t="s">
        <v>124</v>
      </c>
      <c r="D75" s="60" t="s">
        <v>122</v>
      </c>
      <c r="E75" s="51">
        <v>-23389.69</v>
      </c>
      <c r="F75" s="61">
        <v>0</v>
      </c>
      <c r="G75" s="62"/>
      <c r="H75" s="63" t="e">
        <f>E75/#REF!</f>
        <v>#REF!</v>
      </c>
      <c r="I75" s="61">
        <v>60000</v>
      </c>
      <c r="J75" s="61"/>
      <c r="K75" s="61">
        <v>0</v>
      </c>
      <c r="L75" s="61"/>
      <c r="M75" s="63" t="e">
        <f t="shared" si="3"/>
        <v>#DIV/0!</v>
      </c>
      <c r="N75" s="61"/>
      <c r="O75" s="63">
        <f t="shared" si="0"/>
        <v>0</v>
      </c>
      <c r="P75" s="61" t="e">
        <f>E75-#REF!</f>
        <v>#REF!</v>
      </c>
      <c r="Q75" s="68"/>
    </row>
    <row r="76" spans="1:17" s="32" customFormat="1" ht="83.25" customHeight="1" outlineLevel="1" collapsed="1">
      <c r="A76" s="24" t="s">
        <v>125</v>
      </c>
      <c r="B76" s="48" t="s">
        <v>126</v>
      </c>
      <c r="C76" s="49" t="s">
        <v>127</v>
      </c>
      <c r="D76" s="50" t="s">
        <v>125</v>
      </c>
      <c r="E76" s="51">
        <v>-23389.69</v>
      </c>
      <c r="F76" s="51">
        <v>3014.2</v>
      </c>
      <c r="G76" s="58">
        <f>F76-E76</f>
        <v>26403.89</v>
      </c>
      <c r="H76" s="54">
        <f>F76/E76</f>
        <v>-0.12886874516079522</v>
      </c>
      <c r="I76" s="51"/>
      <c r="J76" s="51"/>
      <c r="K76" s="51">
        <v>942.29</v>
      </c>
      <c r="L76" s="51">
        <f>K76-J76</f>
        <v>942.29</v>
      </c>
      <c r="M76" s="54"/>
      <c r="N76" s="51"/>
      <c r="O76" s="54"/>
      <c r="P76" s="51">
        <f>K76-F76</f>
        <v>-2071.91</v>
      </c>
      <c r="Q76" s="56"/>
    </row>
    <row r="77" spans="1:17" s="32" customFormat="1" ht="15.75" customHeight="1" hidden="1" outlineLevel="3">
      <c r="A77" s="24" t="s">
        <v>128</v>
      </c>
      <c r="B77" s="48"/>
      <c r="C77" s="49" t="s">
        <v>23</v>
      </c>
      <c r="D77" s="50" t="s">
        <v>128</v>
      </c>
      <c r="E77" s="51">
        <v>78.92</v>
      </c>
      <c r="F77" s="51">
        <v>78.92</v>
      </c>
      <c r="G77" s="58"/>
      <c r="H77" s="54" t="e">
        <f>E77/#REF!</f>
        <v>#REF!</v>
      </c>
      <c r="I77" s="51">
        <v>0</v>
      </c>
      <c r="J77" s="51"/>
      <c r="K77" s="51">
        <v>78.92</v>
      </c>
      <c r="L77" s="51"/>
      <c r="M77" s="54" t="e">
        <f>I77/G77</f>
        <v>#DIV/0!</v>
      </c>
      <c r="N77" s="51"/>
      <c r="O77" s="54" t="e">
        <f t="shared" si="0"/>
        <v>#DIV/0!</v>
      </c>
      <c r="P77" s="51" t="e">
        <f>E77-#REF!</f>
        <v>#REF!</v>
      </c>
      <c r="Q77" s="69"/>
    </row>
    <row r="78" spans="1:17" s="32" customFormat="1" ht="180" customHeight="1" hidden="1" outlineLevel="4">
      <c r="A78" s="24" t="s">
        <v>129</v>
      </c>
      <c r="B78" s="48"/>
      <c r="C78" s="49" t="s">
        <v>130</v>
      </c>
      <c r="D78" s="50" t="s">
        <v>129</v>
      </c>
      <c r="E78" s="51">
        <v>78.92</v>
      </c>
      <c r="F78" s="51">
        <v>78.92</v>
      </c>
      <c r="G78" s="58"/>
      <c r="H78" s="54" t="e">
        <f>E78/#REF!</f>
        <v>#REF!</v>
      </c>
      <c r="I78" s="51">
        <v>0</v>
      </c>
      <c r="J78" s="51"/>
      <c r="K78" s="51">
        <v>78.92</v>
      </c>
      <c r="L78" s="51"/>
      <c r="M78" s="54" t="e">
        <f>I78/G78</f>
        <v>#DIV/0!</v>
      </c>
      <c r="N78" s="51"/>
      <c r="O78" s="54" t="e">
        <f t="shared" si="0"/>
        <v>#DIV/0!</v>
      </c>
      <c r="P78" s="51" t="e">
        <f>E78-#REF!</f>
        <v>#REF!</v>
      </c>
      <c r="Q78" s="69"/>
    </row>
    <row r="79" spans="1:17" s="32" customFormat="1" ht="180" customHeight="1" hidden="1" outlineLevel="5">
      <c r="A79" s="24" t="s">
        <v>131</v>
      </c>
      <c r="B79" s="48"/>
      <c r="C79" s="49" t="s">
        <v>132</v>
      </c>
      <c r="D79" s="50" t="s">
        <v>131</v>
      </c>
      <c r="E79" s="72">
        <f>E80+E89+E105+E108+E111+E112</f>
        <v>106887173.90000002</v>
      </c>
      <c r="F79" s="51">
        <v>78.92</v>
      </c>
      <c r="G79" s="58"/>
      <c r="H79" s="54" t="e">
        <f>E79/#REF!</f>
        <v>#REF!</v>
      </c>
      <c r="I79" s="51">
        <v>0</v>
      </c>
      <c r="J79" s="51"/>
      <c r="K79" s="51">
        <v>78.92</v>
      </c>
      <c r="L79" s="51"/>
      <c r="M79" s="54" t="e">
        <f>I79/G79</f>
        <v>#DIV/0!</v>
      </c>
      <c r="N79" s="51"/>
      <c r="O79" s="54" t="e">
        <f>K79/I79</f>
        <v>#DIV/0!</v>
      </c>
      <c r="P79" s="51" t="e">
        <f>E79-#REF!</f>
        <v>#REF!</v>
      </c>
      <c r="Q79" s="69"/>
    </row>
    <row r="80" spans="1:17" s="32" customFormat="1" ht="39" customHeight="1" outlineLevel="5">
      <c r="A80" s="24"/>
      <c r="B80" s="48" t="s">
        <v>133</v>
      </c>
      <c r="C80" s="70" t="s">
        <v>134</v>
      </c>
      <c r="D80" s="71"/>
      <c r="E80" s="72">
        <f>E81+E90+E106+E109+E112+E113</f>
        <v>73494552.89</v>
      </c>
      <c r="F80" s="72">
        <f>F81+F90+F106+F109+F112+F113</f>
        <v>21993436.36</v>
      </c>
      <c r="G80" s="72">
        <f>G81+G90+G106+G109+G112+G113</f>
        <v>-51406480.38999999</v>
      </c>
      <c r="H80" s="72">
        <f>F80/E80</f>
        <v>0.2992526043789638</v>
      </c>
      <c r="I80" s="72">
        <f>I81+I90+I106+I109+I112+I113</f>
        <v>61350184.11</v>
      </c>
      <c r="J80" s="72">
        <f>J81+J90+J106+J109+J112+J113</f>
        <v>2230316.48</v>
      </c>
      <c r="K80" s="72">
        <f>K81+K90+K106+K109+K112+K113</f>
        <v>47757581.35000001</v>
      </c>
      <c r="L80" s="72">
        <f>K80-J80</f>
        <v>45527264.87000001</v>
      </c>
      <c r="M80" s="72" t="e">
        <f>M81+M90+M106+M109+M112+M113</f>
        <v>#DIV/0!</v>
      </c>
      <c r="N80" s="72">
        <f>N81+N90+N106+N109+N112+N113</f>
        <v>-13592602.759999994</v>
      </c>
      <c r="O80" s="156">
        <f aca="true" t="shared" si="14" ref="O80:O127">K80/I80</f>
        <v>0.7784423476932254</v>
      </c>
      <c r="P80" s="72">
        <f>K80-F80</f>
        <v>25764144.99000001</v>
      </c>
      <c r="Q80" s="56"/>
    </row>
    <row r="81" spans="1:17" s="32" customFormat="1" ht="72" customHeight="1" outlineLevel="1">
      <c r="A81" s="24" t="s">
        <v>135</v>
      </c>
      <c r="B81" s="48" t="s">
        <v>136</v>
      </c>
      <c r="C81" s="49" t="s">
        <v>137</v>
      </c>
      <c r="D81" s="50" t="s">
        <v>135</v>
      </c>
      <c r="E81" s="51">
        <f>E82+E83+E84+E85+E89</f>
        <v>37416244.75</v>
      </c>
      <c r="F81" s="51">
        <f>F82+F83+F84+F85+F89</f>
        <v>10036377.35</v>
      </c>
      <c r="G81" s="58">
        <f>G82+G83+G85+G89</f>
        <v>-27350627.259999998</v>
      </c>
      <c r="H81" s="54">
        <f>F81/E81</f>
        <v>0.26823582689975856</v>
      </c>
      <c r="I81" s="51">
        <f>I82+I83+I84+I85+I89</f>
        <v>26290475.19</v>
      </c>
      <c r="J81" s="51">
        <f>J82+J83+J84+J85+J89</f>
        <v>859800</v>
      </c>
      <c r="K81" s="51">
        <f>K82+K83+K84+K85+K89</f>
        <v>8662948.620000001</v>
      </c>
      <c r="L81" s="51">
        <f>K81-J81</f>
        <v>7803148.620000001</v>
      </c>
      <c r="M81" s="54">
        <f>I81/G81</f>
        <v>-0.9612384732561341</v>
      </c>
      <c r="N81" s="51">
        <f>N82+N83+N84+N85+N89</f>
        <v>-17627526.57</v>
      </c>
      <c r="O81" s="54">
        <f t="shared" si="14"/>
        <v>0.32950901637925095</v>
      </c>
      <c r="P81" s="51">
        <f>K81-F81</f>
        <v>-1373428.7299999986</v>
      </c>
      <c r="Q81" s="56"/>
    </row>
    <row r="82" spans="1:17" ht="66.75" customHeight="1" outlineLevel="4">
      <c r="A82" s="64" t="s">
        <v>138</v>
      </c>
      <c r="B82" s="65" t="s">
        <v>139</v>
      </c>
      <c r="C82" s="59" t="s">
        <v>140</v>
      </c>
      <c r="D82" s="60" t="s">
        <v>138</v>
      </c>
      <c r="E82" s="61">
        <v>24363527.29</v>
      </c>
      <c r="F82" s="61">
        <v>4787239.41</v>
      </c>
      <c r="G82" s="62">
        <f>F82-E82</f>
        <v>-19576287.88</v>
      </c>
      <c r="H82" s="63">
        <f>F82/E82</f>
        <v>0.19649204948927576</v>
      </c>
      <c r="I82" s="61">
        <v>15000000</v>
      </c>
      <c r="J82" s="61">
        <v>350000</v>
      </c>
      <c r="K82" s="61">
        <f>4116186.7+264361.92+6513.27</f>
        <v>4387061.89</v>
      </c>
      <c r="L82" s="61">
        <f>K82-J82</f>
        <v>4037061.8899999997</v>
      </c>
      <c r="M82" s="63">
        <f>I82/G82</f>
        <v>-0.7662331128326256</v>
      </c>
      <c r="N82" s="61">
        <f>K82-I82</f>
        <v>-10612938.11</v>
      </c>
      <c r="O82" s="63">
        <f t="shared" si="14"/>
        <v>0.29247079266666665</v>
      </c>
      <c r="P82" s="61">
        <f>K82-F82</f>
        <v>-400177.5200000005</v>
      </c>
      <c r="Q82" s="66" t="s">
        <v>268</v>
      </c>
    </row>
    <row r="83" spans="1:17" ht="61.5" customHeight="1" outlineLevel="4">
      <c r="A83" s="64" t="s">
        <v>141</v>
      </c>
      <c r="B83" s="65" t="s">
        <v>142</v>
      </c>
      <c r="C83" s="59" t="s">
        <v>143</v>
      </c>
      <c r="D83" s="60" t="s">
        <v>141</v>
      </c>
      <c r="E83" s="61">
        <v>977974.72</v>
      </c>
      <c r="F83" s="61">
        <v>316570.81</v>
      </c>
      <c r="G83" s="62">
        <f aca="true" t="shared" si="15" ref="G83:G89">F83-E83</f>
        <v>-661403.9099999999</v>
      </c>
      <c r="H83" s="63">
        <f aca="true" t="shared" si="16" ref="H83:H89">F83/E83</f>
        <v>0.323700401989941</v>
      </c>
      <c r="I83" s="61">
        <v>987235.05</v>
      </c>
      <c r="J83" s="61">
        <v>109800</v>
      </c>
      <c r="K83" s="61">
        <v>361646.44</v>
      </c>
      <c r="L83" s="61">
        <f aca="true" t="shared" si="17" ref="L83:L89">K83-J83</f>
        <v>251846.44</v>
      </c>
      <c r="M83" s="63">
        <f>I83/G83</f>
        <v>-1.4926356422658587</v>
      </c>
      <c r="N83" s="61">
        <f aca="true" t="shared" si="18" ref="N83:N89">K83-I83</f>
        <v>-625588.6100000001</v>
      </c>
      <c r="O83" s="63">
        <f t="shared" si="14"/>
        <v>0.36632252876354016</v>
      </c>
      <c r="P83" s="61">
        <f aca="true" t="shared" si="19" ref="P83:P89">K83-F83</f>
        <v>45075.630000000005</v>
      </c>
      <c r="Q83" s="66"/>
    </row>
    <row r="84" spans="1:17" ht="108" customHeight="1" outlineLevel="4">
      <c r="A84" s="64"/>
      <c r="B84" s="65" t="s">
        <v>144</v>
      </c>
      <c r="C84" s="59" t="s">
        <v>145</v>
      </c>
      <c r="D84" s="60" t="s">
        <v>146</v>
      </c>
      <c r="E84" s="61">
        <v>58480.28</v>
      </c>
      <c r="F84" s="61">
        <v>29240.14</v>
      </c>
      <c r="G84" s="62">
        <f t="shared" si="15"/>
        <v>-29240.14</v>
      </c>
      <c r="H84" s="63">
        <f t="shared" si="16"/>
        <v>0.5</v>
      </c>
      <c r="I84" s="61">
        <v>29240.14</v>
      </c>
      <c r="J84" s="61"/>
      <c r="K84" s="61">
        <v>27691.96</v>
      </c>
      <c r="L84" s="61">
        <f t="shared" si="17"/>
        <v>27691.96</v>
      </c>
      <c r="M84" s="63"/>
      <c r="N84" s="61">
        <f t="shared" si="18"/>
        <v>-1548.1800000000003</v>
      </c>
      <c r="O84" s="63"/>
      <c r="P84" s="61"/>
      <c r="Q84" s="73" t="s">
        <v>147</v>
      </c>
    </row>
    <row r="85" spans="1:17" ht="38.25" customHeight="1" outlineLevel="2">
      <c r="A85" s="64" t="s">
        <v>148</v>
      </c>
      <c r="B85" s="65" t="s">
        <v>149</v>
      </c>
      <c r="C85" s="59" t="s">
        <v>150</v>
      </c>
      <c r="D85" s="60" t="s">
        <v>148</v>
      </c>
      <c r="E85" s="62">
        <v>5843542.64</v>
      </c>
      <c r="F85" s="62">
        <v>2796000</v>
      </c>
      <c r="G85" s="62">
        <f t="shared" si="15"/>
        <v>-3047542.6399999997</v>
      </c>
      <c r="H85" s="63">
        <f t="shared" si="16"/>
        <v>0.47847687135213585</v>
      </c>
      <c r="I85" s="61">
        <v>4966000</v>
      </c>
      <c r="J85" s="61"/>
      <c r="K85" s="62">
        <v>2072500</v>
      </c>
      <c r="L85" s="61">
        <f t="shared" si="17"/>
        <v>2072500</v>
      </c>
      <c r="M85" s="63">
        <f aca="true" t="shared" si="20" ref="M85:M112">I85/G85</f>
        <v>-1.6295096038426555</v>
      </c>
      <c r="N85" s="61">
        <f t="shared" si="18"/>
        <v>-2893500</v>
      </c>
      <c r="O85" s="63">
        <f t="shared" si="14"/>
        <v>0.41733789770438984</v>
      </c>
      <c r="P85" s="61">
        <f t="shared" si="19"/>
        <v>-723500</v>
      </c>
      <c r="Q85" s="66" t="s">
        <v>257</v>
      </c>
    </row>
    <row r="86" spans="1:17" ht="15" customHeight="1" hidden="1" outlineLevel="3">
      <c r="A86" s="64" t="s">
        <v>151</v>
      </c>
      <c r="B86" s="65"/>
      <c r="C86" s="59" t="s">
        <v>23</v>
      </c>
      <c r="D86" s="60" t="s">
        <v>151</v>
      </c>
      <c r="E86" s="61"/>
      <c r="F86" s="61"/>
      <c r="G86" s="62">
        <f t="shared" si="15"/>
        <v>0</v>
      </c>
      <c r="H86" s="63" t="e">
        <f t="shared" si="16"/>
        <v>#DIV/0!</v>
      </c>
      <c r="I86" s="61"/>
      <c r="J86" s="61"/>
      <c r="K86" s="61"/>
      <c r="L86" s="61">
        <f t="shared" si="17"/>
        <v>0</v>
      </c>
      <c r="M86" s="63" t="e">
        <f t="shared" si="20"/>
        <v>#DIV/0!</v>
      </c>
      <c r="N86" s="61">
        <f t="shared" si="18"/>
        <v>0</v>
      </c>
      <c r="O86" s="63" t="e">
        <f t="shared" si="14"/>
        <v>#DIV/0!</v>
      </c>
      <c r="P86" s="61">
        <f t="shared" si="19"/>
        <v>0</v>
      </c>
      <c r="Q86" s="68"/>
    </row>
    <row r="87" spans="1:17" ht="128.25" customHeight="1" hidden="1" outlineLevel="4">
      <c r="A87" s="64" t="s">
        <v>152</v>
      </c>
      <c r="B87" s="65"/>
      <c r="C87" s="59" t="s">
        <v>153</v>
      </c>
      <c r="D87" s="60" t="s">
        <v>152</v>
      </c>
      <c r="E87" s="61"/>
      <c r="F87" s="61"/>
      <c r="G87" s="62">
        <f t="shared" si="15"/>
        <v>0</v>
      </c>
      <c r="H87" s="63" t="e">
        <f t="shared" si="16"/>
        <v>#DIV/0!</v>
      </c>
      <c r="I87" s="61"/>
      <c r="J87" s="61"/>
      <c r="K87" s="61"/>
      <c r="L87" s="61">
        <f t="shared" si="17"/>
        <v>0</v>
      </c>
      <c r="M87" s="63" t="e">
        <f t="shared" si="20"/>
        <v>#DIV/0!</v>
      </c>
      <c r="N87" s="61">
        <f t="shared" si="18"/>
        <v>0</v>
      </c>
      <c r="O87" s="63" t="e">
        <f t="shared" si="14"/>
        <v>#DIV/0!</v>
      </c>
      <c r="P87" s="61">
        <f t="shared" si="19"/>
        <v>0</v>
      </c>
      <c r="Q87" s="68"/>
    </row>
    <row r="88" spans="1:17" ht="128.25" customHeight="1" hidden="1" outlineLevel="5">
      <c r="A88" s="64" t="s">
        <v>152</v>
      </c>
      <c r="B88" s="65"/>
      <c r="C88" s="59" t="s">
        <v>154</v>
      </c>
      <c r="D88" s="60" t="s">
        <v>152</v>
      </c>
      <c r="E88" s="61"/>
      <c r="F88" s="61"/>
      <c r="G88" s="62">
        <f t="shared" si="15"/>
        <v>0</v>
      </c>
      <c r="H88" s="63" t="e">
        <f t="shared" si="16"/>
        <v>#DIV/0!</v>
      </c>
      <c r="I88" s="61"/>
      <c r="J88" s="61"/>
      <c r="K88" s="61"/>
      <c r="L88" s="61">
        <f t="shared" si="17"/>
        <v>0</v>
      </c>
      <c r="M88" s="63" t="e">
        <f t="shared" si="20"/>
        <v>#DIV/0!</v>
      </c>
      <c r="N88" s="61">
        <f t="shared" si="18"/>
        <v>0</v>
      </c>
      <c r="O88" s="63" t="e">
        <f t="shared" si="14"/>
        <v>#DIV/0!</v>
      </c>
      <c r="P88" s="61">
        <f t="shared" si="19"/>
        <v>0</v>
      </c>
      <c r="Q88" s="68"/>
    </row>
    <row r="89" spans="1:17" ht="69.75" customHeight="1" outlineLevel="2" collapsed="1">
      <c r="A89" s="64" t="s">
        <v>155</v>
      </c>
      <c r="B89" s="65" t="s">
        <v>156</v>
      </c>
      <c r="C89" s="59" t="s">
        <v>157</v>
      </c>
      <c r="D89" s="60" t="s">
        <v>155</v>
      </c>
      <c r="E89" s="61">
        <v>6172719.82</v>
      </c>
      <c r="F89" s="61">
        <v>2107326.99</v>
      </c>
      <c r="G89" s="62">
        <f t="shared" si="15"/>
        <v>-4065392.83</v>
      </c>
      <c r="H89" s="63">
        <f t="shared" si="16"/>
        <v>0.34139359171497274</v>
      </c>
      <c r="I89" s="61">
        <v>5308000</v>
      </c>
      <c r="J89" s="61">
        <v>400000</v>
      </c>
      <c r="K89" s="61">
        <f>1814040.33+8</f>
        <v>1814048.33</v>
      </c>
      <c r="L89" s="61">
        <f t="shared" si="17"/>
        <v>1414048.33</v>
      </c>
      <c r="M89" s="63">
        <f t="shared" si="20"/>
        <v>-1.3056548830485344</v>
      </c>
      <c r="N89" s="61">
        <f t="shared" si="18"/>
        <v>-3493951.67</v>
      </c>
      <c r="O89" s="63">
        <f t="shared" si="14"/>
        <v>0.3417574095704597</v>
      </c>
      <c r="P89" s="61">
        <f t="shared" si="19"/>
        <v>-293278.66000000015</v>
      </c>
      <c r="Q89" s="66"/>
    </row>
    <row r="90" spans="1:17" s="32" customFormat="1" ht="98.25" customHeight="1" outlineLevel="1">
      <c r="A90" s="24" t="s">
        <v>158</v>
      </c>
      <c r="B90" s="48" t="s">
        <v>159</v>
      </c>
      <c r="C90" s="49" t="s">
        <v>160</v>
      </c>
      <c r="D90" s="50" t="s">
        <v>158</v>
      </c>
      <c r="E90" s="51">
        <v>485335.25</v>
      </c>
      <c r="F90" s="51">
        <v>200111.45</v>
      </c>
      <c r="G90" s="58">
        <f>F90-E90</f>
        <v>-285223.8</v>
      </c>
      <c r="H90" s="54">
        <f>F90/E90</f>
        <v>0.41231591976886084</v>
      </c>
      <c r="I90" s="51">
        <v>231800</v>
      </c>
      <c r="J90" s="51">
        <v>0</v>
      </c>
      <c r="K90" s="51">
        <v>63226.38</v>
      </c>
      <c r="L90" s="51">
        <f>K90-J90</f>
        <v>63226.38</v>
      </c>
      <c r="M90" s="54">
        <f t="shared" si="20"/>
        <v>-0.8126951537704779</v>
      </c>
      <c r="N90" s="51">
        <f>K90-I90</f>
        <v>-168573.62</v>
      </c>
      <c r="O90" s="54">
        <f t="shared" si="14"/>
        <v>0.2727626402070751</v>
      </c>
      <c r="P90" s="51">
        <f>K90-F90</f>
        <v>-136885.07</v>
      </c>
      <c r="Q90" s="74"/>
    </row>
    <row r="91" spans="1:17" s="32" customFormat="1" ht="15.75" customHeight="1" hidden="1" outlineLevel="3">
      <c r="A91" s="24" t="s">
        <v>161</v>
      </c>
      <c r="B91" s="48"/>
      <c r="C91" s="49" t="s">
        <v>23</v>
      </c>
      <c r="D91" s="50" t="s">
        <v>161</v>
      </c>
      <c r="E91" s="51">
        <v>2890.68</v>
      </c>
      <c r="F91" s="51">
        <v>2890.68</v>
      </c>
      <c r="G91" s="58"/>
      <c r="H91" s="54">
        <f aca="true" t="shared" si="21" ref="H91:H130">F91/E91</f>
        <v>1</v>
      </c>
      <c r="I91" s="51">
        <v>33800</v>
      </c>
      <c r="J91" s="51"/>
      <c r="K91" s="51">
        <v>2890.68</v>
      </c>
      <c r="L91" s="51">
        <f aca="true" t="shared" si="22" ref="L91:L120">K91-J91</f>
        <v>2890.68</v>
      </c>
      <c r="M91" s="54" t="e">
        <f t="shared" si="20"/>
        <v>#DIV/0!</v>
      </c>
      <c r="N91" s="51">
        <f aca="true" t="shared" si="23" ref="N91:N106">K91-I91</f>
        <v>-30909.32</v>
      </c>
      <c r="O91" s="54">
        <f t="shared" si="14"/>
        <v>0.08552307692307692</v>
      </c>
      <c r="P91" s="51">
        <f aca="true" t="shared" si="24" ref="P91:P130">K91-F91</f>
        <v>0</v>
      </c>
      <c r="Q91" s="69"/>
    </row>
    <row r="92" spans="1:17" s="32" customFormat="1" ht="90" customHeight="1" hidden="1" outlineLevel="4">
      <c r="A92" s="24" t="s">
        <v>162</v>
      </c>
      <c r="B92" s="48"/>
      <c r="C92" s="49" t="s">
        <v>163</v>
      </c>
      <c r="D92" s="50" t="s">
        <v>162</v>
      </c>
      <c r="E92" s="51">
        <v>0</v>
      </c>
      <c r="F92" s="51">
        <v>2890.68</v>
      </c>
      <c r="G92" s="58"/>
      <c r="H92" s="54" t="e">
        <f t="shared" si="21"/>
        <v>#DIV/0!</v>
      </c>
      <c r="I92" s="51">
        <v>33800</v>
      </c>
      <c r="J92" s="51"/>
      <c r="K92" s="51">
        <v>2890.68</v>
      </c>
      <c r="L92" s="51">
        <f t="shared" si="22"/>
        <v>2890.68</v>
      </c>
      <c r="M92" s="54" t="e">
        <f t="shared" si="20"/>
        <v>#DIV/0!</v>
      </c>
      <c r="N92" s="51">
        <f t="shared" si="23"/>
        <v>-30909.32</v>
      </c>
      <c r="O92" s="54">
        <f t="shared" si="14"/>
        <v>0.08552307692307692</v>
      </c>
      <c r="P92" s="51">
        <f t="shared" si="24"/>
        <v>0</v>
      </c>
      <c r="Q92" s="69"/>
    </row>
    <row r="93" spans="1:17" s="32" customFormat="1" ht="90" customHeight="1" hidden="1" outlineLevel="5">
      <c r="A93" s="24" t="s">
        <v>162</v>
      </c>
      <c r="B93" s="48"/>
      <c r="C93" s="49" t="s">
        <v>164</v>
      </c>
      <c r="D93" s="50" t="s">
        <v>162</v>
      </c>
      <c r="E93" s="51">
        <v>2890.68</v>
      </c>
      <c r="F93" s="51">
        <v>0</v>
      </c>
      <c r="G93" s="58"/>
      <c r="H93" s="54">
        <f t="shared" si="21"/>
        <v>0</v>
      </c>
      <c r="I93" s="51">
        <v>33800</v>
      </c>
      <c r="J93" s="51"/>
      <c r="K93" s="51">
        <v>0</v>
      </c>
      <c r="L93" s="51">
        <f t="shared" si="22"/>
        <v>0</v>
      </c>
      <c r="M93" s="54" t="e">
        <f t="shared" si="20"/>
        <v>#DIV/0!</v>
      </c>
      <c r="N93" s="51">
        <f t="shared" si="23"/>
        <v>-33800</v>
      </c>
      <c r="O93" s="54">
        <f t="shared" si="14"/>
        <v>0</v>
      </c>
      <c r="P93" s="51">
        <f t="shared" si="24"/>
        <v>0</v>
      </c>
      <c r="Q93" s="69"/>
    </row>
    <row r="94" spans="1:17" s="32" customFormat="1" ht="90" customHeight="1" hidden="1" outlineLevel="5">
      <c r="A94" s="24" t="s">
        <v>165</v>
      </c>
      <c r="B94" s="48"/>
      <c r="C94" s="49" t="s">
        <v>164</v>
      </c>
      <c r="D94" s="50" t="s">
        <v>165</v>
      </c>
      <c r="E94" s="51">
        <v>53.23</v>
      </c>
      <c r="F94" s="51">
        <v>2890.68</v>
      </c>
      <c r="G94" s="58"/>
      <c r="H94" s="54">
        <f t="shared" si="21"/>
        <v>54.30546684200639</v>
      </c>
      <c r="I94" s="51">
        <v>0</v>
      </c>
      <c r="J94" s="51"/>
      <c r="K94" s="51">
        <v>2890.68</v>
      </c>
      <c r="L94" s="51">
        <f t="shared" si="22"/>
        <v>2890.68</v>
      </c>
      <c r="M94" s="54" t="e">
        <f t="shared" si="20"/>
        <v>#DIV/0!</v>
      </c>
      <c r="N94" s="51">
        <f t="shared" si="23"/>
        <v>2890.68</v>
      </c>
      <c r="O94" s="54" t="e">
        <f t="shared" si="14"/>
        <v>#DIV/0!</v>
      </c>
      <c r="P94" s="51">
        <f t="shared" si="24"/>
        <v>0</v>
      </c>
      <c r="Q94" s="69"/>
    </row>
    <row r="95" spans="1:17" s="32" customFormat="1" ht="15.75" customHeight="1" hidden="1" outlineLevel="3">
      <c r="A95" s="24" t="s">
        <v>166</v>
      </c>
      <c r="B95" s="48"/>
      <c r="C95" s="49" t="s">
        <v>23</v>
      </c>
      <c r="D95" s="50" t="s">
        <v>166</v>
      </c>
      <c r="E95" s="51">
        <v>53.23</v>
      </c>
      <c r="F95" s="51">
        <v>53.23</v>
      </c>
      <c r="G95" s="58"/>
      <c r="H95" s="54">
        <f t="shared" si="21"/>
        <v>1</v>
      </c>
      <c r="I95" s="51">
        <v>0</v>
      </c>
      <c r="J95" s="51"/>
      <c r="K95" s="51">
        <v>53.23</v>
      </c>
      <c r="L95" s="51">
        <f t="shared" si="22"/>
        <v>53.23</v>
      </c>
      <c r="M95" s="54" t="e">
        <f t="shared" si="20"/>
        <v>#DIV/0!</v>
      </c>
      <c r="N95" s="51">
        <f t="shared" si="23"/>
        <v>53.23</v>
      </c>
      <c r="O95" s="54" t="e">
        <f t="shared" si="14"/>
        <v>#DIV/0!</v>
      </c>
      <c r="P95" s="51">
        <f t="shared" si="24"/>
        <v>0</v>
      </c>
      <c r="Q95" s="69"/>
    </row>
    <row r="96" spans="1:17" s="32" customFormat="1" ht="90" customHeight="1" hidden="1" outlineLevel="4">
      <c r="A96" s="24" t="s">
        <v>167</v>
      </c>
      <c r="B96" s="48"/>
      <c r="C96" s="49" t="s">
        <v>168</v>
      </c>
      <c r="D96" s="50" t="s">
        <v>167</v>
      </c>
      <c r="E96" s="51">
        <v>53.23</v>
      </c>
      <c r="F96" s="51">
        <v>53.23</v>
      </c>
      <c r="G96" s="58"/>
      <c r="H96" s="54">
        <f t="shared" si="21"/>
        <v>1</v>
      </c>
      <c r="I96" s="51">
        <v>0</v>
      </c>
      <c r="J96" s="51"/>
      <c r="K96" s="51">
        <v>53.23</v>
      </c>
      <c r="L96" s="51">
        <f t="shared" si="22"/>
        <v>53.23</v>
      </c>
      <c r="M96" s="54" t="e">
        <f t="shared" si="20"/>
        <v>#DIV/0!</v>
      </c>
      <c r="N96" s="51">
        <f t="shared" si="23"/>
        <v>53.23</v>
      </c>
      <c r="O96" s="54" t="e">
        <f t="shared" si="14"/>
        <v>#DIV/0!</v>
      </c>
      <c r="P96" s="51">
        <f t="shared" si="24"/>
        <v>0</v>
      </c>
      <c r="Q96" s="69"/>
    </row>
    <row r="97" spans="1:17" s="32" customFormat="1" ht="90" customHeight="1" hidden="1" outlineLevel="5">
      <c r="A97" s="24" t="s">
        <v>169</v>
      </c>
      <c r="B97" s="48"/>
      <c r="C97" s="49" t="s">
        <v>170</v>
      </c>
      <c r="D97" s="50" t="s">
        <v>169</v>
      </c>
      <c r="E97" s="51">
        <v>481.81</v>
      </c>
      <c r="F97" s="51">
        <v>53.23</v>
      </c>
      <c r="G97" s="58"/>
      <c r="H97" s="54">
        <f t="shared" si="21"/>
        <v>0.11047923455303957</v>
      </c>
      <c r="I97" s="51">
        <v>0</v>
      </c>
      <c r="J97" s="51"/>
      <c r="K97" s="51">
        <v>53.23</v>
      </c>
      <c r="L97" s="51">
        <f t="shared" si="22"/>
        <v>53.23</v>
      </c>
      <c r="M97" s="54" t="e">
        <f t="shared" si="20"/>
        <v>#DIV/0!</v>
      </c>
      <c r="N97" s="51">
        <f t="shared" si="23"/>
        <v>53.23</v>
      </c>
      <c r="O97" s="54" t="e">
        <f t="shared" si="14"/>
        <v>#DIV/0!</v>
      </c>
      <c r="P97" s="51">
        <f t="shared" si="24"/>
        <v>0</v>
      </c>
      <c r="Q97" s="69"/>
    </row>
    <row r="98" spans="1:17" s="32" customFormat="1" ht="15.75" customHeight="1" hidden="1" outlineLevel="3">
      <c r="A98" s="24" t="s">
        <v>171</v>
      </c>
      <c r="B98" s="48"/>
      <c r="C98" s="49" t="s">
        <v>23</v>
      </c>
      <c r="D98" s="50" t="s">
        <v>171</v>
      </c>
      <c r="E98" s="51">
        <v>481.81</v>
      </c>
      <c r="F98" s="51">
        <v>481.81</v>
      </c>
      <c r="G98" s="58"/>
      <c r="H98" s="54">
        <f t="shared" si="21"/>
        <v>1</v>
      </c>
      <c r="I98" s="51">
        <v>59400</v>
      </c>
      <c r="J98" s="51"/>
      <c r="K98" s="51">
        <v>481.81</v>
      </c>
      <c r="L98" s="51">
        <f t="shared" si="22"/>
        <v>481.81</v>
      </c>
      <c r="M98" s="54" t="e">
        <f t="shared" si="20"/>
        <v>#DIV/0!</v>
      </c>
      <c r="N98" s="51">
        <f t="shared" si="23"/>
        <v>-58918.19</v>
      </c>
      <c r="O98" s="54">
        <f t="shared" si="14"/>
        <v>0.008111279461279462</v>
      </c>
      <c r="P98" s="51">
        <f t="shared" si="24"/>
        <v>0</v>
      </c>
      <c r="Q98" s="69"/>
    </row>
    <row r="99" spans="1:17" s="32" customFormat="1" ht="45" customHeight="1" hidden="1" outlineLevel="4">
      <c r="A99" s="24" t="s">
        <v>172</v>
      </c>
      <c r="B99" s="48"/>
      <c r="C99" s="49" t="s">
        <v>173</v>
      </c>
      <c r="D99" s="50" t="s">
        <v>172</v>
      </c>
      <c r="E99" s="51">
        <v>0</v>
      </c>
      <c r="F99" s="51">
        <v>481.81</v>
      </c>
      <c r="G99" s="58"/>
      <c r="H99" s="54" t="e">
        <f t="shared" si="21"/>
        <v>#DIV/0!</v>
      </c>
      <c r="I99" s="51">
        <v>59400</v>
      </c>
      <c r="J99" s="51"/>
      <c r="K99" s="51">
        <v>481.81</v>
      </c>
      <c r="L99" s="51">
        <f t="shared" si="22"/>
        <v>481.81</v>
      </c>
      <c r="M99" s="54" t="e">
        <f t="shared" si="20"/>
        <v>#DIV/0!</v>
      </c>
      <c r="N99" s="51">
        <f t="shared" si="23"/>
        <v>-58918.19</v>
      </c>
      <c r="O99" s="54">
        <f t="shared" si="14"/>
        <v>0.008111279461279462</v>
      </c>
      <c r="P99" s="51">
        <f t="shared" si="24"/>
        <v>0</v>
      </c>
      <c r="Q99" s="69"/>
    </row>
    <row r="100" spans="1:17" s="32" customFormat="1" ht="60" customHeight="1" hidden="1" outlineLevel="5">
      <c r="A100" s="24" t="s">
        <v>172</v>
      </c>
      <c r="B100" s="48"/>
      <c r="C100" s="49" t="s">
        <v>174</v>
      </c>
      <c r="D100" s="50" t="s">
        <v>172</v>
      </c>
      <c r="E100" s="51">
        <v>481.81</v>
      </c>
      <c r="F100" s="51">
        <v>0</v>
      </c>
      <c r="G100" s="58"/>
      <c r="H100" s="54">
        <f t="shared" si="21"/>
        <v>0</v>
      </c>
      <c r="I100" s="51">
        <v>59400</v>
      </c>
      <c r="J100" s="51"/>
      <c r="K100" s="51">
        <v>0</v>
      </c>
      <c r="L100" s="51">
        <f t="shared" si="22"/>
        <v>0</v>
      </c>
      <c r="M100" s="54" t="e">
        <f t="shared" si="20"/>
        <v>#DIV/0!</v>
      </c>
      <c r="N100" s="51">
        <f t="shared" si="23"/>
        <v>-59400</v>
      </c>
      <c r="O100" s="54">
        <f t="shared" si="14"/>
        <v>0</v>
      </c>
      <c r="P100" s="51">
        <f t="shared" si="24"/>
        <v>0</v>
      </c>
      <c r="Q100" s="69"/>
    </row>
    <row r="101" spans="1:17" s="32" customFormat="1" ht="60" customHeight="1" hidden="1" outlineLevel="5">
      <c r="A101" s="24" t="s">
        <v>175</v>
      </c>
      <c r="B101" s="48"/>
      <c r="C101" s="49" t="s">
        <v>176</v>
      </c>
      <c r="D101" s="50" t="s">
        <v>175</v>
      </c>
      <c r="E101" s="51">
        <v>39261.54</v>
      </c>
      <c r="F101" s="51">
        <v>481.81</v>
      </c>
      <c r="G101" s="58"/>
      <c r="H101" s="54">
        <f t="shared" si="21"/>
        <v>0.01227180594546215</v>
      </c>
      <c r="I101" s="51">
        <v>0</v>
      </c>
      <c r="J101" s="51"/>
      <c r="K101" s="51">
        <v>481.81</v>
      </c>
      <c r="L101" s="51">
        <f t="shared" si="22"/>
        <v>481.81</v>
      </c>
      <c r="M101" s="54" t="e">
        <f t="shared" si="20"/>
        <v>#DIV/0!</v>
      </c>
      <c r="N101" s="51">
        <f t="shared" si="23"/>
        <v>481.81</v>
      </c>
      <c r="O101" s="54" t="e">
        <f t="shared" si="14"/>
        <v>#DIV/0!</v>
      </c>
      <c r="P101" s="51">
        <f t="shared" si="24"/>
        <v>0</v>
      </c>
      <c r="Q101" s="69"/>
    </row>
    <row r="102" spans="1:17" s="32" customFormat="1" ht="15.75" customHeight="1" hidden="1" outlineLevel="3">
      <c r="A102" s="24" t="s">
        <v>177</v>
      </c>
      <c r="B102" s="48"/>
      <c r="C102" s="49" t="s">
        <v>23</v>
      </c>
      <c r="D102" s="50" t="s">
        <v>177</v>
      </c>
      <c r="E102" s="51">
        <v>39261.54</v>
      </c>
      <c r="F102" s="51">
        <v>39261.54</v>
      </c>
      <c r="G102" s="58"/>
      <c r="H102" s="54">
        <f t="shared" si="21"/>
        <v>1</v>
      </c>
      <c r="I102" s="51">
        <v>464900</v>
      </c>
      <c r="J102" s="51"/>
      <c r="K102" s="51">
        <v>39261.54</v>
      </c>
      <c r="L102" s="51">
        <f t="shared" si="22"/>
        <v>39261.54</v>
      </c>
      <c r="M102" s="54" t="e">
        <f t="shared" si="20"/>
        <v>#DIV/0!</v>
      </c>
      <c r="N102" s="51">
        <f t="shared" si="23"/>
        <v>-425638.46</v>
      </c>
      <c r="O102" s="54">
        <f t="shared" si="14"/>
        <v>0.0844515809851581</v>
      </c>
      <c r="P102" s="51">
        <f t="shared" si="24"/>
        <v>0</v>
      </c>
      <c r="Q102" s="69"/>
    </row>
    <row r="103" spans="1:17" s="32" customFormat="1" ht="60" customHeight="1" hidden="1" outlineLevel="4">
      <c r="A103" s="24" t="s">
        <v>178</v>
      </c>
      <c r="B103" s="48"/>
      <c r="C103" s="49" t="s">
        <v>179</v>
      </c>
      <c r="D103" s="50" t="s">
        <v>178</v>
      </c>
      <c r="E103" s="51">
        <v>0</v>
      </c>
      <c r="F103" s="51">
        <v>39261.54</v>
      </c>
      <c r="G103" s="58"/>
      <c r="H103" s="54" t="e">
        <f t="shared" si="21"/>
        <v>#DIV/0!</v>
      </c>
      <c r="I103" s="51">
        <v>464900</v>
      </c>
      <c r="J103" s="51"/>
      <c r="K103" s="51">
        <v>39261.54</v>
      </c>
      <c r="L103" s="51">
        <f t="shared" si="22"/>
        <v>39261.54</v>
      </c>
      <c r="M103" s="54" t="e">
        <f t="shared" si="20"/>
        <v>#DIV/0!</v>
      </c>
      <c r="N103" s="51">
        <f t="shared" si="23"/>
        <v>-425638.46</v>
      </c>
      <c r="O103" s="54">
        <f t="shared" si="14"/>
        <v>0.0844515809851581</v>
      </c>
      <c r="P103" s="51">
        <f t="shared" si="24"/>
        <v>0</v>
      </c>
      <c r="Q103" s="69"/>
    </row>
    <row r="104" spans="1:17" s="32" customFormat="1" ht="60" customHeight="1" hidden="1" outlineLevel="5">
      <c r="A104" s="24" t="s">
        <v>178</v>
      </c>
      <c r="B104" s="48"/>
      <c r="C104" s="49" t="s">
        <v>180</v>
      </c>
      <c r="D104" s="50" t="s">
        <v>178</v>
      </c>
      <c r="E104" s="51">
        <v>39261.54</v>
      </c>
      <c r="F104" s="51">
        <v>0</v>
      </c>
      <c r="G104" s="58"/>
      <c r="H104" s="54">
        <f t="shared" si="21"/>
        <v>0</v>
      </c>
      <c r="I104" s="51">
        <v>464900</v>
      </c>
      <c r="J104" s="51"/>
      <c r="K104" s="51">
        <v>0</v>
      </c>
      <c r="L104" s="51">
        <f t="shared" si="22"/>
        <v>0</v>
      </c>
      <c r="M104" s="54" t="e">
        <f t="shared" si="20"/>
        <v>#DIV/0!</v>
      </c>
      <c r="N104" s="51">
        <f t="shared" si="23"/>
        <v>-464900</v>
      </c>
      <c r="O104" s="54">
        <f t="shared" si="14"/>
        <v>0</v>
      </c>
      <c r="P104" s="51">
        <f t="shared" si="24"/>
        <v>0</v>
      </c>
      <c r="Q104" s="69"/>
    </row>
    <row r="105" spans="1:17" s="32" customFormat="1" ht="60" customHeight="1" hidden="1" outlineLevel="5">
      <c r="A105" s="24" t="s">
        <v>181</v>
      </c>
      <c r="B105" s="48"/>
      <c r="C105" s="49" t="s">
        <v>182</v>
      </c>
      <c r="D105" s="50" t="s">
        <v>181</v>
      </c>
      <c r="E105" s="51">
        <f>E106+E107</f>
        <v>10003098.77</v>
      </c>
      <c r="F105" s="51">
        <v>39261.54</v>
      </c>
      <c r="G105" s="58"/>
      <c r="H105" s="54">
        <f t="shared" si="21"/>
        <v>0.003924937752064204</v>
      </c>
      <c r="I105" s="51">
        <v>0</v>
      </c>
      <c r="J105" s="51"/>
      <c r="K105" s="51">
        <v>39261.54</v>
      </c>
      <c r="L105" s="51">
        <f t="shared" si="22"/>
        <v>39261.54</v>
      </c>
      <c r="M105" s="54" t="e">
        <f t="shared" si="20"/>
        <v>#DIV/0!</v>
      </c>
      <c r="N105" s="51">
        <f t="shared" si="23"/>
        <v>39261.54</v>
      </c>
      <c r="O105" s="54" t="e">
        <f t="shared" si="14"/>
        <v>#DIV/0!</v>
      </c>
      <c r="P105" s="51">
        <f t="shared" si="24"/>
        <v>0</v>
      </c>
      <c r="Q105" s="69"/>
    </row>
    <row r="106" spans="1:17" s="32" customFormat="1" ht="78.75" customHeight="1" outlineLevel="1" collapsed="1">
      <c r="A106" s="24" t="s">
        <v>183</v>
      </c>
      <c r="B106" s="48" t="s">
        <v>184</v>
      </c>
      <c r="C106" s="49" t="s">
        <v>185</v>
      </c>
      <c r="D106" s="50" t="s">
        <v>183</v>
      </c>
      <c r="E106" s="51">
        <f>E107+E108</f>
        <v>6949209.46</v>
      </c>
      <c r="F106" s="51">
        <f>F107+F108</f>
        <v>1051336.56</v>
      </c>
      <c r="G106" s="58">
        <f>G107+G108</f>
        <v>-5897872.9</v>
      </c>
      <c r="H106" s="54">
        <f t="shared" si="21"/>
        <v>0.15128865607685973</v>
      </c>
      <c r="I106" s="51">
        <f>I107+I108</f>
        <v>3385096.2</v>
      </c>
      <c r="J106" s="51">
        <f>J107+J108</f>
        <v>217229</v>
      </c>
      <c r="K106" s="51">
        <f>K107+K108</f>
        <v>967003.59</v>
      </c>
      <c r="L106" s="51">
        <f t="shared" si="22"/>
        <v>749774.59</v>
      </c>
      <c r="M106" s="54">
        <f t="shared" si="20"/>
        <v>-0.5739520429475514</v>
      </c>
      <c r="N106" s="51">
        <f t="shared" si="23"/>
        <v>-2418092.6100000003</v>
      </c>
      <c r="O106" s="54">
        <f t="shared" si="14"/>
        <v>0.2856650248226328</v>
      </c>
      <c r="P106" s="51">
        <f t="shared" si="24"/>
        <v>-84332.97000000009</v>
      </c>
      <c r="Q106" s="56"/>
    </row>
    <row r="107" spans="1:17" ht="62.25" customHeight="1" outlineLevel="2">
      <c r="A107" s="64" t="s">
        <v>186</v>
      </c>
      <c r="B107" s="65" t="s">
        <v>187</v>
      </c>
      <c r="C107" s="59" t="s">
        <v>188</v>
      </c>
      <c r="D107" s="60" t="s">
        <v>186</v>
      </c>
      <c r="E107" s="61">
        <v>3053889.31</v>
      </c>
      <c r="F107" s="61">
        <v>1036482.56</v>
      </c>
      <c r="G107" s="62">
        <f>F107-E107</f>
        <v>-2017406.75</v>
      </c>
      <c r="H107" s="63">
        <f t="shared" si="21"/>
        <v>0.33939755334485255</v>
      </c>
      <c r="I107" s="61">
        <v>3335156.7</v>
      </c>
      <c r="J107" s="61">
        <v>217229</v>
      </c>
      <c r="K107" s="61">
        <v>934950.59</v>
      </c>
      <c r="L107" s="61">
        <f t="shared" si="22"/>
        <v>717721.59</v>
      </c>
      <c r="M107" s="63">
        <f t="shared" si="20"/>
        <v>-1.6531900173328955</v>
      </c>
      <c r="N107" s="61">
        <f>K107-I107</f>
        <v>-2400206.1100000003</v>
      </c>
      <c r="O107" s="63">
        <f t="shared" si="14"/>
        <v>0.28033183268420336</v>
      </c>
      <c r="P107" s="61">
        <f t="shared" si="24"/>
        <v>-101531.97000000009</v>
      </c>
      <c r="Q107" s="74"/>
    </row>
    <row r="108" spans="1:17" ht="35.25" customHeight="1" outlineLevel="3">
      <c r="A108" s="64" t="s">
        <v>189</v>
      </c>
      <c r="B108" s="65" t="s">
        <v>190</v>
      </c>
      <c r="C108" s="59" t="s">
        <v>191</v>
      </c>
      <c r="D108" s="60" t="s">
        <v>192</v>
      </c>
      <c r="E108" s="62">
        <v>3895320.15</v>
      </c>
      <c r="F108" s="62">
        <v>14854</v>
      </c>
      <c r="G108" s="62">
        <f>F108-E108</f>
        <v>-3880466.15</v>
      </c>
      <c r="H108" s="63">
        <f t="shared" si="21"/>
        <v>0.0038132937545582745</v>
      </c>
      <c r="I108" s="61">
        <v>49939.5</v>
      </c>
      <c r="J108" s="61"/>
      <c r="K108" s="62">
        <v>32053</v>
      </c>
      <c r="L108" s="61">
        <f t="shared" si="22"/>
        <v>32053</v>
      </c>
      <c r="M108" s="63">
        <f t="shared" si="20"/>
        <v>-0.012869458995280761</v>
      </c>
      <c r="N108" s="61">
        <f>K108-I108</f>
        <v>-17886.5</v>
      </c>
      <c r="O108" s="63">
        <f t="shared" si="14"/>
        <v>0.6418366223129988</v>
      </c>
      <c r="P108" s="61">
        <f t="shared" si="24"/>
        <v>17199</v>
      </c>
      <c r="Q108" s="66"/>
    </row>
    <row r="109" spans="1:17" s="32" customFormat="1" ht="75" customHeight="1" outlineLevel="1">
      <c r="A109" s="24" t="s">
        <v>193</v>
      </c>
      <c r="B109" s="48" t="s">
        <v>194</v>
      </c>
      <c r="C109" s="49" t="s">
        <v>195</v>
      </c>
      <c r="D109" s="50" t="s">
        <v>193</v>
      </c>
      <c r="E109" s="51">
        <f>E110+E111</f>
        <v>19228417.560000002</v>
      </c>
      <c r="F109" s="51">
        <f>F110+F111</f>
        <v>6348768.66</v>
      </c>
      <c r="G109" s="58">
        <f>G110+G111</f>
        <v>-12879648.9</v>
      </c>
      <c r="H109" s="54">
        <f t="shared" si="21"/>
        <v>0.33017634655527</v>
      </c>
      <c r="I109" s="51">
        <f>I110+I111</f>
        <v>24221136</v>
      </c>
      <c r="J109" s="51">
        <f>J110+J111</f>
        <v>200000</v>
      </c>
      <c r="K109" s="51">
        <f>K110+K111</f>
        <v>10243274.14</v>
      </c>
      <c r="L109" s="51">
        <f t="shared" si="22"/>
        <v>10043274.14</v>
      </c>
      <c r="M109" s="54">
        <f t="shared" si="20"/>
        <v>-1.8805742445355011</v>
      </c>
      <c r="N109" s="51">
        <f>N110+N111</f>
        <v>-13977861.86</v>
      </c>
      <c r="O109" s="54">
        <f t="shared" si="14"/>
        <v>0.42290642932684913</v>
      </c>
      <c r="P109" s="51">
        <f t="shared" si="24"/>
        <v>3894505.4800000004</v>
      </c>
      <c r="Q109" s="56"/>
    </row>
    <row r="110" spans="1:17" ht="75.75" customHeight="1" outlineLevel="2">
      <c r="A110" s="64" t="s">
        <v>196</v>
      </c>
      <c r="B110" s="65" t="s">
        <v>197</v>
      </c>
      <c r="C110" s="59" t="s">
        <v>198</v>
      </c>
      <c r="D110" s="60" t="s">
        <v>196</v>
      </c>
      <c r="E110" s="61">
        <v>7574993.66</v>
      </c>
      <c r="F110" s="61">
        <v>3037000</v>
      </c>
      <c r="G110" s="62">
        <f aca="true" t="shared" si="25" ref="G110:G130">F110-E110</f>
        <v>-4537993.66</v>
      </c>
      <c r="H110" s="63">
        <f t="shared" si="21"/>
        <v>0.40092442796843214</v>
      </c>
      <c r="I110" s="61">
        <v>18286836</v>
      </c>
      <c r="J110" s="61"/>
      <c r="K110" s="61">
        <v>3124344.33</v>
      </c>
      <c r="L110" s="61">
        <f t="shared" si="22"/>
        <v>3124344.33</v>
      </c>
      <c r="M110" s="63">
        <f t="shared" si="20"/>
        <v>-4.029718278628005</v>
      </c>
      <c r="N110" s="61">
        <f>K110-I110</f>
        <v>-15162491.67</v>
      </c>
      <c r="O110" s="63">
        <f t="shared" si="14"/>
        <v>0.17085209983837554</v>
      </c>
      <c r="P110" s="61">
        <f t="shared" si="24"/>
        <v>87344.33000000007</v>
      </c>
      <c r="Q110" s="73"/>
    </row>
    <row r="111" spans="1:17" ht="36" customHeight="1" outlineLevel="2">
      <c r="A111" s="64" t="s">
        <v>199</v>
      </c>
      <c r="B111" s="65" t="s">
        <v>200</v>
      </c>
      <c r="C111" s="59" t="s">
        <v>201</v>
      </c>
      <c r="D111" s="60" t="s">
        <v>199</v>
      </c>
      <c r="E111" s="61">
        <v>11653423.9</v>
      </c>
      <c r="F111" s="61">
        <v>3311768.66</v>
      </c>
      <c r="G111" s="62">
        <f t="shared" si="25"/>
        <v>-8341655.24</v>
      </c>
      <c r="H111" s="63">
        <f t="shared" si="21"/>
        <v>0.2841884658465054</v>
      </c>
      <c r="I111" s="61">
        <v>5934300</v>
      </c>
      <c r="J111" s="61">
        <v>200000</v>
      </c>
      <c r="K111" s="61">
        <v>7118929.81</v>
      </c>
      <c r="L111" s="61">
        <f t="shared" si="22"/>
        <v>6918929.81</v>
      </c>
      <c r="M111" s="63">
        <f t="shared" si="20"/>
        <v>-0.7114055699094081</v>
      </c>
      <c r="N111" s="61">
        <f>K111-I111</f>
        <v>1184629.8099999996</v>
      </c>
      <c r="O111" s="63">
        <f t="shared" si="14"/>
        <v>1.1996241865089394</v>
      </c>
      <c r="P111" s="61">
        <f t="shared" si="24"/>
        <v>3807161.1499999994</v>
      </c>
      <c r="Q111" s="66"/>
    </row>
    <row r="112" spans="1:17" s="32" customFormat="1" ht="106.5" customHeight="1" outlineLevel="1">
      <c r="A112" s="24" t="s">
        <v>202</v>
      </c>
      <c r="B112" s="48" t="s">
        <v>203</v>
      </c>
      <c r="C112" s="49" t="s">
        <v>204</v>
      </c>
      <c r="D112" s="50" t="s">
        <v>202</v>
      </c>
      <c r="E112" s="51">
        <v>1668058.37</v>
      </c>
      <c r="F112" s="51">
        <v>617384.96</v>
      </c>
      <c r="G112" s="58">
        <f t="shared" si="25"/>
        <v>-1050673.4100000001</v>
      </c>
      <c r="H112" s="54">
        <f t="shared" si="21"/>
        <v>0.37012191605740985</v>
      </c>
      <c r="I112" s="51">
        <v>216894.64</v>
      </c>
      <c r="J112" s="51">
        <v>35150</v>
      </c>
      <c r="K112" s="51">
        <f>24257490.35+126.48+2189.32</f>
        <v>24259806.150000002</v>
      </c>
      <c r="L112" s="51">
        <f t="shared" si="22"/>
        <v>24224656.150000002</v>
      </c>
      <c r="M112" s="54">
        <f t="shared" si="20"/>
        <v>-0.20643392888376225</v>
      </c>
      <c r="N112" s="51">
        <f>K112-I112</f>
        <v>24042911.51</v>
      </c>
      <c r="O112" s="54">
        <f t="shared" si="14"/>
        <v>111.85064854530292</v>
      </c>
      <c r="P112" s="51">
        <f t="shared" si="24"/>
        <v>23642421.19</v>
      </c>
      <c r="Q112" s="74" t="s">
        <v>286</v>
      </c>
    </row>
    <row r="113" spans="1:17" s="32" customFormat="1" ht="30.75" customHeight="1" outlineLevel="1">
      <c r="A113" s="24" t="s">
        <v>205</v>
      </c>
      <c r="B113" s="48" t="s">
        <v>206</v>
      </c>
      <c r="C113" s="49" t="s">
        <v>207</v>
      </c>
      <c r="D113" s="50" t="s">
        <v>205</v>
      </c>
      <c r="E113" s="51">
        <f>E114+E115+E116+E117+E118+E119+E120</f>
        <v>7747287.5</v>
      </c>
      <c r="F113" s="51">
        <f>F114+F115+F116+F117+F118+F119+F120</f>
        <v>3739457.38</v>
      </c>
      <c r="G113" s="58">
        <f>G114+G115+G116+G117+G118+G119</f>
        <v>-3942434.1199999996</v>
      </c>
      <c r="H113" s="75">
        <f t="shared" si="21"/>
        <v>0.48267956752605345</v>
      </c>
      <c r="I113" s="51">
        <f>I114+I115+I116+I117+I118+I119+I120</f>
        <v>7004782.08</v>
      </c>
      <c r="J113" s="51">
        <f>J114+J115+J116+J117+J118+J119+J120</f>
        <v>918137.48</v>
      </c>
      <c r="K113" s="51">
        <f>K114+K115+K116+K117+K118+K119+K120</f>
        <v>3561322.47</v>
      </c>
      <c r="L113" s="51">
        <f>L114+L115+L116+L117+L118+L119+L120</f>
        <v>2643184.99</v>
      </c>
      <c r="M113" s="51" t="e">
        <f>M114+M115+M116+M117+M118+M119+M120</f>
        <v>#DIV/0!</v>
      </c>
      <c r="N113" s="51">
        <f>N114+N115+N116+N117+N118+N119+N120</f>
        <v>-3443459.6099999994</v>
      </c>
      <c r="O113" s="54">
        <f t="shared" si="14"/>
        <v>0.5084130283179346</v>
      </c>
      <c r="P113" s="51">
        <f t="shared" si="24"/>
        <v>-178134.90999999968</v>
      </c>
      <c r="Q113" s="56"/>
    </row>
    <row r="114" spans="1:17" s="4" customFormat="1" ht="72" customHeight="1" outlineLevel="1">
      <c r="A114" s="76"/>
      <c r="B114" s="77" t="s">
        <v>208</v>
      </c>
      <c r="C114" s="59" t="s">
        <v>209</v>
      </c>
      <c r="D114" s="60" t="s">
        <v>210</v>
      </c>
      <c r="E114" s="78">
        <v>0</v>
      </c>
      <c r="F114" s="79"/>
      <c r="G114" s="62"/>
      <c r="H114" s="63"/>
      <c r="I114" s="79"/>
      <c r="J114" s="79"/>
      <c r="K114" s="79"/>
      <c r="L114" s="61">
        <f t="shared" si="22"/>
        <v>0</v>
      </c>
      <c r="M114" s="63"/>
      <c r="N114" s="61">
        <f aca="true" t="shared" si="26" ref="N114:N120">K114-I114</f>
        <v>0</v>
      </c>
      <c r="O114" s="63"/>
      <c r="P114" s="61">
        <f t="shared" si="24"/>
        <v>0</v>
      </c>
      <c r="Q114" s="80"/>
    </row>
    <row r="115" spans="1:17" ht="94.5" customHeight="1" outlineLevel="5">
      <c r="A115" s="64" t="s">
        <v>211</v>
      </c>
      <c r="B115" s="65" t="s">
        <v>212</v>
      </c>
      <c r="C115" s="59" t="s">
        <v>213</v>
      </c>
      <c r="D115" s="60" t="s">
        <v>211</v>
      </c>
      <c r="E115" s="61">
        <v>898909.4</v>
      </c>
      <c r="F115" s="61">
        <v>220559.6</v>
      </c>
      <c r="G115" s="62">
        <f t="shared" si="25"/>
        <v>-678349.8</v>
      </c>
      <c r="H115" s="63">
        <f t="shared" si="21"/>
        <v>0.24536354831755014</v>
      </c>
      <c r="I115" s="61">
        <v>936864.56</v>
      </c>
      <c r="J115" s="61"/>
      <c r="K115" s="61">
        <v>370929.6</v>
      </c>
      <c r="L115" s="61">
        <f t="shared" si="22"/>
        <v>370929.6</v>
      </c>
      <c r="M115" s="63">
        <f>I115/G115</f>
        <v>-1.381093589177737</v>
      </c>
      <c r="N115" s="61">
        <f t="shared" si="26"/>
        <v>-565934.9600000001</v>
      </c>
      <c r="O115" s="63">
        <f t="shared" si="14"/>
        <v>0.39592660010535563</v>
      </c>
      <c r="P115" s="61">
        <f t="shared" si="24"/>
        <v>150369.99999999997</v>
      </c>
      <c r="Q115" s="66" t="s">
        <v>259</v>
      </c>
    </row>
    <row r="116" spans="1:17" ht="61.5" customHeight="1" outlineLevel="5">
      <c r="A116" s="64" t="s">
        <v>214</v>
      </c>
      <c r="B116" s="65" t="s">
        <v>215</v>
      </c>
      <c r="C116" s="59" t="s">
        <v>216</v>
      </c>
      <c r="D116" s="60" t="s">
        <v>214</v>
      </c>
      <c r="E116" s="61">
        <v>91219.38</v>
      </c>
      <c r="F116" s="61">
        <v>17992.12</v>
      </c>
      <c r="G116" s="62">
        <f t="shared" si="25"/>
        <v>-73227.26000000001</v>
      </c>
      <c r="H116" s="63">
        <f t="shared" si="21"/>
        <v>0.19724010402175501</v>
      </c>
      <c r="I116" s="61">
        <v>33077</v>
      </c>
      <c r="J116" s="61">
        <v>4255</v>
      </c>
      <c r="K116" s="61"/>
      <c r="L116" s="61">
        <f t="shared" si="22"/>
        <v>-4255</v>
      </c>
      <c r="M116" s="63">
        <f>I116/G116</f>
        <v>-0.45170336839040537</v>
      </c>
      <c r="N116" s="61">
        <f t="shared" si="26"/>
        <v>-33077</v>
      </c>
      <c r="O116" s="63">
        <f t="shared" si="14"/>
        <v>0</v>
      </c>
      <c r="P116" s="61">
        <f t="shared" si="24"/>
        <v>-17992.12</v>
      </c>
      <c r="Q116" s="66"/>
    </row>
    <row r="117" spans="1:17" ht="79.5" customHeight="1" outlineLevel="5">
      <c r="A117" s="64" t="s">
        <v>217</v>
      </c>
      <c r="B117" s="65" t="s">
        <v>218</v>
      </c>
      <c r="C117" s="59" t="s">
        <v>219</v>
      </c>
      <c r="D117" s="60" t="s">
        <v>217</v>
      </c>
      <c r="E117" s="61">
        <v>0</v>
      </c>
      <c r="F117" s="61"/>
      <c r="G117" s="62">
        <f t="shared" si="25"/>
        <v>0</v>
      </c>
      <c r="H117" s="63"/>
      <c r="I117" s="61"/>
      <c r="J117" s="61"/>
      <c r="K117" s="61"/>
      <c r="L117" s="61">
        <f t="shared" si="22"/>
        <v>0</v>
      </c>
      <c r="M117" s="63"/>
      <c r="N117" s="61">
        <f t="shared" si="26"/>
        <v>0</v>
      </c>
      <c r="O117" s="63"/>
      <c r="P117" s="61">
        <f t="shared" si="24"/>
        <v>0</v>
      </c>
      <c r="Q117" s="66"/>
    </row>
    <row r="118" spans="1:17" ht="45" customHeight="1" hidden="1" outlineLevel="5">
      <c r="A118" s="64" t="s">
        <v>220</v>
      </c>
      <c r="B118" s="65"/>
      <c r="C118" s="59" t="s">
        <v>221</v>
      </c>
      <c r="D118" s="60" t="s">
        <v>220</v>
      </c>
      <c r="E118" s="61"/>
      <c r="F118" s="61"/>
      <c r="G118" s="62">
        <f t="shared" si="25"/>
        <v>0</v>
      </c>
      <c r="H118" s="63" t="e">
        <f t="shared" si="21"/>
        <v>#DIV/0!</v>
      </c>
      <c r="I118" s="61"/>
      <c r="J118" s="61"/>
      <c r="K118" s="61"/>
      <c r="L118" s="61">
        <f t="shared" si="22"/>
        <v>0</v>
      </c>
      <c r="M118" s="63" t="e">
        <f aca="true" t="shared" si="27" ref="M118:M127">I118/G118</f>
        <v>#DIV/0!</v>
      </c>
      <c r="N118" s="61">
        <f t="shared" si="26"/>
        <v>0</v>
      </c>
      <c r="O118" s="63" t="e">
        <f t="shared" si="14"/>
        <v>#DIV/0!</v>
      </c>
      <c r="P118" s="61">
        <f t="shared" si="24"/>
        <v>0</v>
      </c>
      <c r="Q118" s="81" t="s">
        <v>222</v>
      </c>
    </row>
    <row r="119" spans="1:17" ht="117" customHeight="1" outlineLevel="5">
      <c r="A119" s="64" t="s">
        <v>223</v>
      </c>
      <c r="B119" s="82" t="s">
        <v>224</v>
      </c>
      <c r="C119" s="83" t="s">
        <v>225</v>
      </c>
      <c r="D119" s="84" t="s">
        <v>223</v>
      </c>
      <c r="E119" s="85">
        <v>5165454.72</v>
      </c>
      <c r="F119" s="85">
        <v>1974597.66</v>
      </c>
      <c r="G119" s="86">
        <f t="shared" si="25"/>
        <v>-3190857.0599999996</v>
      </c>
      <c r="H119" s="87">
        <f t="shared" si="21"/>
        <v>0.3822698614227713</v>
      </c>
      <c r="I119" s="85">
        <v>4745840.52</v>
      </c>
      <c r="J119" s="85">
        <v>913882.48</v>
      </c>
      <c r="K119" s="85">
        <f>1847069.51+54323.36</f>
        <v>1901392.87</v>
      </c>
      <c r="L119" s="85">
        <f t="shared" si="22"/>
        <v>987510.3900000001</v>
      </c>
      <c r="M119" s="87">
        <f t="shared" si="27"/>
        <v>-1.4873247001543843</v>
      </c>
      <c r="N119" s="85">
        <f t="shared" si="26"/>
        <v>-2844447.6499999994</v>
      </c>
      <c r="O119" s="87">
        <f t="shared" si="14"/>
        <v>0.400644071790259</v>
      </c>
      <c r="P119" s="85">
        <f t="shared" si="24"/>
        <v>-73204.7899999998</v>
      </c>
      <c r="Q119" s="88"/>
    </row>
    <row r="120" spans="1:17" ht="47.25" customHeight="1" outlineLevel="5" thickBot="1">
      <c r="A120" s="64"/>
      <c r="B120" s="65" t="s">
        <v>226</v>
      </c>
      <c r="C120" s="89" t="s">
        <v>227</v>
      </c>
      <c r="D120" s="90"/>
      <c r="E120" s="91">
        <v>1591704</v>
      </c>
      <c r="F120" s="91">
        <v>1526308</v>
      </c>
      <c r="G120" s="92">
        <f t="shared" si="25"/>
        <v>-65396</v>
      </c>
      <c r="H120" s="93">
        <f t="shared" si="21"/>
        <v>0.9589144715349085</v>
      </c>
      <c r="I120" s="91">
        <v>1289000</v>
      </c>
      <c r="J120" s="91"/>
      <c r="K120" s="91">
        <v>1289000</v>
      </c>
      <c r="L120" s="85">
        <f t="shared" si="22"/>
        <v>1289000</v>
      </c>
      <c r="M120" s="93">
        <f t="shared" si="27"/>
        <v>-19.710685668848246</v>
      </c>
      <c r="N120" s="85">
        <f t="shared" si="26"/>
        <v>0</v>
      </c>
      <c r="O120" s="93"/>
      <c r="P120" s="85">
        <f t="shared" si="24"/>
        <v>-237308</v>
      </c>
      <c r="Q120" s="94" t="s">
        <v>269</v>
      </c>
    </row>
    <row r="121" spans="1:17" s="16" customFormat="1" ht="31.5" customHeight="1" thickBot="1">
      <c r="A121" s="9" t="s">
        <v>228</v>
      </c>
      <c r="B121" s="10" t="s">
        <v>226</v>
      </c>
      <c r="C121" s="95" t="s">
        <v>229</v>
      </c>
      <c r="D121" s="96" t="s">
        <v>228</v>
      </c>
      <c r="E121" s="99">
        <f>E122+E126+E127+E128+E129+E130</f>
        <v>3087425772.07</v>
      </c>
      <c r="F121" s="99">
        <f>F122+F126+F127+F128+F129+F130</f>
        <v>422571781.40999997</v>
      </c>
      <c r="G121" s="97">
        <f t="shared" si="25"/>
        <v>-2664853990.6600003</v>
      </c>
      <c r="H121" s="98">
        <f t="shared" si="21"/>
        <v>0.13686864482143707</v>
      </c>
      <c r="I121" s="99">
        <f>I122+I126+I127+I128+I129+I130</f>
        <v>2547683295.13</v>
      </c>
      <c r="J121" s="100" t="s">
        <v>230</v>
      </c>
      <c r="K121" s="99">
        <f>K122+K126+K127+K128+K129+K130</f>
        <v>565434463.1</v>
      </c>
      <c r="L121" s="100" t="s">
        <v>230</v>
      </c>
      <c r="M121" s="98">
        <f t="shared" si="27"/>
        <v>-0.9560311011632646</v>
      </c>
      <c r="N121" s="99">
        <f>N122+N126+N127+N130</f>
        <v>-1892804698.33</v>
      </c>
      <c r="O121" s="98">
        <f t="shared" si="14"/>
        <v>0.22194064080918177</v>
      </c>
      <c r="P121" s="99">
        <f t="shared" si="24"/>
        <v>142862681.69000006</v>
      </c>
      <c r="Q121" s="101"/>
    </row>
    <row r="122" spans="1:17" ht="39.75" customHeight="1" outlineLevel="2">
      <c r="A122" s="64" t="s">
        <v>231</v>
      </c>
      <c r="B122" s="65" t="s">
        <v>232</v>
      </c>
      <c r="C122" s="102" t="s">
        <v>233</v>
      </c>
      <c r="D122" s="103" t="s">
        <v>231</v>
      </c>
      <c r="E122" s="104">
        <v>473098326.55</v>
      </c>
      <c r="F122" s="104">
        <v>146548690.77</v>
      </c>
      <c r="G122" s="105">
        <f t="shared" si="25"/>
        <v>-326549635.78</v>
      </c>
      <c r="H122" s="106">
        <f t="shared" si="21"/>
        <v>0.3097637056522368</v>
      </c>
      <c r="I122" s="104">
        <v>497698288.62</v>
      </c>
      <c r="J122" s="107" t="s">
        <v>230</v>
      </c>
      <c r="K122" s="104">
        <v>165899432.62</v>
      </c>
      <c r="L122" s="107" t="s">
        <v>230</v>
      </c>
      <c r="M122" s="106">
        <f t="shared" si="27"/>
        <v>-1.5241122147669603</v>
      </c>
      <c r="N122" s="85">
        <f aca="true" t="shared" si="28" ref="N122:N129">K122-I122</f>
        <v>-331798856</v>
      </c>
      <c r="O122" s="106">
        <f t="shared" si="14"/>
        <v>0.3333333395218216</v>
      </c>
      <c r="P122" s="104">
        <f t="shared" si="24"/>
        <v>19350741.849999994</v>
      </c>
      <c r="Q122" s="108"/>
    </row>
    <row r="123" spans="1:17" ht="42.75" customHeight="1" hidden="1" outlineLevel="3">
      <c r="A123" s="64" t="s">
        <v>234</v>
      </c>
      <c r="B123" s="65"/>
      <c r="C123" s="59" t="s">
        <v>235</v>
      </c>
      <c r="D123" s="60" t="s">
        <v>234</v>
      </c>
      <c r="E123" s="61"/>
      <c r="F123" s="61"/>
      <c r="G123" s="105">
        <f t="shared" si="25"/>
        <v>0</v>
      </c>
      <c r="H123" s="106" t="e">
        <f t="shared" si="21"/>
        <v>#DIV/0!</v>
      </c>
      <c r="I123" s="61"/>
      <c r="J123" s="61"/>
      <c r="K123" s="61"/>
      <c r="L123" s="61"/>
      <c r="M123" s="106" t="e">
        <f t="shared" si="27"/>
        <v>#DIV/0!</v>
      </c>
      <c r="N123" s="85">
        <f t="shared" si="28"/>
        <v>0</v>
      </c>
      <c r="O123" s="106" t="e">
        <f t="shared" si="14"/>
        <v>#DIV/0!</v>
      </c>
      <c r="P123" s="104">
        <f t="shared" si="24"/>
        <v>0</v>
      </c>
      <c r="Q123" s="109"/>
    </row>
    <row r="124" spans="1:17" ht="71.25" customHeight="1" hidden="1" outlineLevel="4">
      <c r="A124" s="64" t="s">
        <v>236</v>
      </c>
      <c r="B124" s="65"/>
      <c r="C124" s="59" t="s">
        <v>237</v>
      </c>
      <c r="D124" s="60" t="s">
        <v>236</v>
      </c>
      <c r="E124" s="61"/>
      <c r="F124" s="61"/>
      <c r="G124" s="105">
        <f t="shared" si="25"/>
        <v>0</v>
      </c>
      <c r="H124" s="106" t="e">
        <f t="shared" si="21"/>
        <v>#DIV/0!</v>
      </c>
      <c r="I124" s="61"/>
      <c r="J124" s="61"/>
      <c r="K124" s="61"/>
      <c r="L124" s="61"/>
      <c r="M124" s="106" t="e">
        <f t="shared" si="27"/>
        <v>#DIV/0!</v>
      </c>
      <c r="N124" s="85">
        <f t="shared" si="28"/>
        <v>0</v>
      </c>
      <c r="O124" s="106" t="e">
        <f t="shared" si="14"/>
        <v>#DIV/0!</v>
      </c>
      <c r="P124" s="104">
        <f t="shared" si="24"/>
        <v>0</v>
      </c>
      <c r="Q124" s="109"/>
    </row>
    <row r="125" spans="1:17" ht="71.25" customHeight="1" hidden="1" outlineLevel="5">
      <c r="A125" s="64" t="s">
        <v>236</v>
      </c>
      <c r="B125" s="65"/>
      <c r="C125" s="59" t="s">
        <v>238</v>
      </c>
      <c r="D125" s="60" t="s">
        <v>236</v>
      </c>
      <c r="E125" s="61"/>
      <c r="F125" s="61"/>
      <c r="G125" s="105">
        <f t="shared" si="25"/>
        <v>0</v>
      </c>
      <c r="H125" s="106" t="e">
        <f t="shared" si="21"/>
        <v>#DIV/0!</v>
      </c>
      <c r="I125" s="61"/>
      <c r="J125" s="61"/>
      <c r="K125" s="61"/>
      <c r="L125" s="61"/>
      <c r="M125" s="106" t="e">
        <f t="shared" si="27"/>
        <v>#DIV/0!</v>
      </c>
      <c r="N125" s="85">
        <f t="shared" si="28"/>
        <v>0</v>
      </c>
      <c r="O125" s="106" t="e">
        <f t="shared" si="14"/>
        <v>#DIV/0!</v>
      </c>
      <c r="P125" s="104">
        <f t="shared" si="24"/>
        <v>0</v>
      </c>
      <c r="Q125" s="109"/>
    </row>
    <row r="126" spans="1:17" ht="21" customHeight="1" outlineLevel="2" collapsed="1">
      <c r="A126" s="64" t="s">
        <v>239</v>
      </c>
      <c r="B126" s="65" t="s">
        <v>240</v>
      </c>
      <c r="C126" s="59" t="s">
        <v>241</v>
      </c>
      <c r="D126" s="60" t="s">
        <v>242</v>
      </c>
      <c r="E126" s="110">
        <v>1985905932.37</v>
      </c>
      <c r="F126" s="110">
        <v>92969830.07</v>
      </c>
      <c r="G126" s="105">
        <f t="shared" si="25"/>
        <v>-1892936102.3</v>
      </c>
      <c r="H126" s="106">
        <f t="shared" si="21"/>
        <v>0.04681482065922875</v>
      </c>
      <c r="I126" s="61">
        <v>1359152528.19</v>
      </c>
      <c r="J126" s="107" t="s">
        <v>230</v>
      </c>
      <c r="K126" s="110">
        <v>166664538.96</v>
      </c>
      <c r="L126" s="107" t="s">
        <v>230</v>
      </c>
      <c r="M126" s="106">
        <f t="shared" si="27"/>
        <v>-0.7180128935882043</v>
      </c>
      <c r="N126" s="85">
        <f t="shared" si="28"/>
        <v>-1192487989.23</v>
      </c>
      <c r="O126" s="106">
        <f t="shared" si="14"/>
        <v>0.1226238670813122</v>
      </c>
      <c r="P126" s="104">
        <f t="shared" si="24"/>
        <v>73694708.89000002</v>
      </c>
      <c r="Q126" s="109"/>
    </row>
    <row r="127" spans="1:17" ht="22.5" customHeight="1" outlineLevel="5">
      <c r="A127" s="64" t="s">
        <v>243</v>
      </c>
      <c r="B127" s="65" t="s">
        <v>244</v>
      </c>
      <c r="C127" s="59" t="s">
        <v>245</v>
      </c>
      <c r="D127" s="60" t="s">
        <v>246</v>
      </c>
      <c r="E127" s="61">
        <v>520683169.05</v>
      </c>
      <c r="F127" s="61">
        <v>174731419.23</v>
      </c>
      <c r="G127" s="105">
        <f t="shared" si="25"/>
        <v>-345951749.82000005</v>
      </c>
      <c r="H127" s="106">
        <f t="shared" si="21"/>
        <v>0.3355810781224252</v>
      </c>
      <c r="I127" s="61">
        <v>569411761.15</v>
      </c>
      <c r="J127" s="107" t="s">
        <v>230</v>
      </c>
      <c r="K127" s="61">
        <v>200893908.05</v>
      </c>
      <c r="L127" s="107" t="s">
        <v>230</v>
      </c>
      <c r="M127" s="106">
        <f t="shared" si="27"/>
        <v>-1.6459282586264328</v>
      </c>
      <c r="N127" s="85">
        <f t="shared" si="28"/>
        <v>-368517853.09999996</v>
      </c>
      <c r="O127" s="106">
        <f t="shared" si="14"/>
        <v>0.352809551464601</v>
      </c>
      <c r="P127" s="104">
        <f t="shared" si="24"/>
        <v>26162488.820000023</v>
      </c>
      <c r="Q127" s="109"/>
    </row>
    <row r="128" spans="1:17" ht="22.5" customHeight="1" outlineLevel="5">
      <c r="A128" s="64"/>
      <c r="B128" s="65" t="s">
        <v>247</v>
      </c>
      <c r="C128" s="59" t="s">
        <v>248</v>
      </c>
      <c r="D128" s="60"/>
      <c r="E128" s="61">
        <v>110208359.34</v>
      </c>
      <c r="F128" s="61">
        <v>8615171.26</v>
      </c>
      <c r="G128" s="105">
        <f t="shared" si="25"/>
        <v>-101593188.08</v>
      </c>
      <c r="H128" s="106">
        <f t="shared" si="21"/>
        <v>0.07817166784437497</v>
      </c>
      <c r="I128" s="61">
        <v>119974047.4</v>
      </c>
      <c r="J128" s="107" t="s">
        <v>230</v>
      </c>
      <c r="K128" s="61">
        <v>31039913.7</v>
      </c>
      <c r="L128" s="107" t="s">
        <v>230</v>
      </c>
      <c r="M128" s="106"/>
      <c r="N128" s="85">
        <f t="shared" si="28"/>
        <v>-88934133.7</v>
      </c>
      <c r="O128" s="106"/>
      <c r="P128" s="104">
        <f t="shared" si="24"/>
        <v>22424742.439999998</v>
      </c>
      <c r="Q128" s="109"/>
    </row>
    <row r="129" spans="1:17" ht="54" customHeight="1" outlineLevel="5">
      <c r="A129" s="64"/>
      <c r="B129" s="65" t="s">
        <v>249</v>
      </c>
      <c r="C129" s="59" t="s">
        <v>250</v>
      </c>
      <c r="D129" s="60"/>
      <c r="E129" s="85">
        <v>1669917.56</v>
      </c>
      <c r="F129" s="85"/>
      <c r="G129" s="105"/>
      <c r="H129" s="106"/>
      <c r="I129" s="61">
        <v>1446811.59</v>
      </c>
      <c r="J129" s="107" t="s">
        <v>230</v>
      </c>
      <c r="K129" s="85">
        <v>936811.59</v>
      </c>
      <c r="L129" s="107" t="s">
        <v>230</v>
      </c>
      <c r="M129" s="106"/>
      <c r="N129" s="85">
        <f t="shared" si="28"/>
        <v>-510000.0000000001</v>
      </c>
      <c r="O129" s="106"/>
      <c r="P129" s="104">
        <f t="shared" si="24"/>
        <v>936811.59</v>
      </c>
      <c r="Q129" s="109"/>
    </row>
    <row r="130" spans="1:17" ht="40.5" customHeight="1" outlineLevel="1">
      <c r="A130" s="64" t="s">
        <v>251</v>
      </c>
      <c r="B130" s="65" t="s">
        <v>252</v>
      </c>
      <c r="C130" s="59" t="s">
        <v>253</v>
      </c>
      <c r="D130" s="60" t="s">
        <v>251</v>
      </c>
      <c r="E130" s="85">
        <v>-4139932.8</v>
      </c>
      <c r="F130" s="85">
        <v>-293329.92</v>
      </c>
      <c r="G130" s="105">
        <f t="shared" si="25"/>
        <v>3846602.88</v>
      </c>
      <c r="H130" s="106">
        <f t="shared" si="21"/>
        <v>0.0708537877716276</v>
      </c>
      <c r="I130" s="61">
        <v>-141.82</v>
      </c>
      <c r="J130" s="107" t="s">
        <v>230</v>
      </c>
      <c r="K130" s="85">
        <v>-141.82</v>
      </c>
      <c r="L130" s="107" t="s">
        <v>230</v>
      </c>
      <c r="M130" s="63"/>
      <c r="N130" s="85">
        <f>K130-I130</f>
        <v>0</v>
      </c>
      <c r="O130" s="63"/>
      <c r="P130" s="104">
        <f t="shared" si="24"/>
        <v>293188.1</v>
      </c>
      <c r="Q130" s="109"/>
    </row>
    <row r="131" spans="1:17" s="118" customFormat="1" ht="23.25" customHeight="1">
      <c r="A131" s="506" t="s">
        <v>254</v>
      </c>
      <c r="B131" s="507"/>
      <c r="C131" s="508"/>
      <c r="D131" s="509"/>
      <c r="E131" s="115">
        <f>E121+E11</f>
        <v>3513539007.31</v>
      </c>
      <c r="F131" s="115">
        <f>F121+F11</f>
        <v>544913390.72</v>
      </c>
      <c r="G131" s="111">
        <f>F131-E131</f>
        <v>-2968625616.59</v>
      </c>
      <c r="H131" s="112">
        <f>F131/E131</f>
        <v>0.1550896089630128</v>
      </c>
      <c r="I131" s="113">
        <f>I121+I11</f>
        <v>2929678046.87</v>
      </c>
      <c r="J131" s="114" t="s">
        <v>230</v>
      </c>
      <c r="K131" s="115">
        <f>K121+K11</f>
        <v>705266465.09</v>
      </c>
      <c r="L131" s="114" t="s">
        <v>230</v>
      </c>
      <c r="M131" s="112">
        <f>I131/G131</f>
        <v>-0.986880268935785</v>
      </c>
      <c r="N131" s="115">
        <f>N121+N11</f>
        <v>-2134967448.08</v>
      </c>
      <c r="O131" s="112">
        <f>K131/I131</f>
        <v>0.24073173017884691</v>
      </c>
      <c r="P131" s="116">
        <f>K131-F131</f>
        <v>160353074.37</v>
      </c>
      <c r="Q131" s="117"/>
    </row>
    <row r="132" spans="1:17" s="129" customFormat="1" ht="24.75" customHeight="1">
      <c r="A132" s="119"/>
      <c r="B132" s="120">
        <v>46</v>
      </c>
      <c r="C132" s="121" t="s">
        <v>255</v>
      </c>
      <c r="D132" s="122"/>
      <c r="E132" s="123">
        <v>39027</v>
      </c>
      <c r="F132" s="123">
        <v>540</v>
      </c>
      <c r="G132" s="124"/>
      <c r="H132" s="125"/>
      <c r="I132" s="126"/>
      <c r="J132" s="126"/>
      <c r="K132" s="123">
        <v>-8441.91</v>
      </c>
      <c r="L132" s="126"/>
      <c r="M132" s="125"/>
      <c r="N132" s="123"/>
      <c r="O132" s="125"/>
      <c r="P132" s="127"/>
      <c r="Q132" s="128"/>
    </row>
    <row r="133" spans="1:17" s="118" customFormat="1" ht="26.25" customHeight="1" thickBot="1">
      <c r="A133" s="130"/>
      <c r="B133" s="131"/>
      <c r="C133" s="131"/>
      <c r="D133" s="131"/>
      <c r="E133" s="136">
        <f>E131++E132</f>
        <v>3513578034.31</v>
      </c>
      <c r="F133" s="136">
        <f>F131++F132</f>
        <v>544913930.72</v>
      </c>
      <c r="G133" s="132">
        <f>F133-E133</f>
        <v>-2968664103.59</v>
      </c>
      <c r="H133" s="133">
        <f>F133/E133</f>
        <v>0.15508803999766888</v>
      </c>
      <c r="I133" s="134">
        <f>I131++I132</f>
        <v>2929678046.87</v>
      </c>
      <c r="J133" s="135" t="s">
        <v>230</v>
      </c>
      <c r="K133" s="136">
        <f>K131++K132</f>
        <v>705258023.1800001</v>
      </c>
      <c r="L133" s="137" t="s">
        <v>230</v>
      </c>
      <c r="M133" s="133">
        <f>I133/G133</f>
        <v>-0.9868674746082406</v>
      </c>
      <c r="N133" s="136">
        <f>N131++N132</f>
        <v>-2134967448.08</v>
      </c>
      <c r="O133" s="133">
        <f>K133/I133</f>
        <v>0.24072884866426925</v>
      </c>
      <c r="P133" s="132">
        <f>K133-F133</f>
        <v>160344092.46000004</v>
      </c>
      <c r="Q133" s="138"/>
    </row>
    <row r="134" ht="15">
      <c r="E134" s="139"/>
    </row>
    <row r="137" ht="15">
      <c r="E137" s="139"/>
    </row>
  </sheetData>
  <sheetProtection/>
  <mergeCells count="26">
    <mergeCell ref="A131:D131"/>
    <mergeCell ref="Q7:Q9"/>
    <mergeCell ref="A8:A9"/>
    <mergeCell ref="E8:E9"/>
    <mergeCell ref="F8:F9"/>
    <mergeCell ref="G8:G9"/>
    <mergeCell ref="H8:H9"/>
    <mergeCell ref="I8:I9"/>
    <mergeCell ref="J8:J9"/>
    <mergeCell ref="K8:K9"/>
    <mergeCell ref="L8:L9"/>
    <mergeCell ref="B7:B9"/>
    <mergeCell ref="C7:C9"/>
    <mergeCell ref="D7:D9"/>
    <mergeCell ref="E7:H7"/>
    <mergeCell ref="I7:O7"/>
    <mergeCell ref="P7:P9"/>
    <mergeCell ref="M8:M9"/>
    <mergeCell ref="N8:N9"/>
    <mergeCell ref="O8:O9"/>
    <mergeCell ref="A1:D1"/>
    <mergeCell ref="A2:D2"/>
    <mergeCell ref="A3:E3"/>
    <mergeCell ref="A4:Q4"/>
    <mergeCell ref="A5:D5"/>
    <mergeCell ref="A6:Q6"/>
  </mergeCells>
  <printOptions horizontalCentered="1"/>
  <pageMargins left="0" right="0" top="0.1968503937007874" bottom="0" header="0.3937007874015748" footer="0.3937007874015748"/>
  <pageSetup blackAndWhite="1" errors="blank" fitToHeight="0" fitToWidth="1" horizontalDpi="600" verticalDpi="600" orientation="landscape" paperSize="9" scale="56" r:id="rId1"/>
  <rowBreaks count="1" manualBreakCount="1">
    <brk id="111" max="16" man="1"/>
  </rowBreaks>
</worksheet>
</file>

<file path=xl/worksheets/sheet12.xml><?xml version="1.0" encoding="utf-8"?>
<worksheet xmlns="http://schemas.openxmlformats.org/spreadsheetml/2006/main" xmlns:r="http://schemas.openxmlformats.org/officeDocument/2006/relationships">
  <sheetPr>
    <tabColor theme="0" tint="-0.04997999966144562"/>
    <pageSetUpPr fitToPage="1"/>
  </sheetPr>
  <dimension ref="A1:Q137"/>
  <sheetViews>
    <sheetView showGridLines="0" showZeros="0" view="pageBreakPreview" zoomScale="85" zoomScaleNormal="75" zoomScaleSheetLayoutView="85" zoomScalePageLayoutView="0" workbookViewId="0" topLeftCell="B1">
      <pane ySplit="9" topLeftCell="A10" activePane="bottomLeft" state="frozen"/>
      <selection pane="topLeft" activeCell="A1" sqref="A1"/>
      <selection pane="bottomLeft" activeCell="C66" sqref="C66"/>
    </sheetView>
  </sheetViews>
  <sheetFormatPr defaultColWidth="9.140625" defaultRowHeight="15" outlineLevelRow="5"/>
  <cols>
    <col min="1" max="1" width="9.140625" style="163" hidden="1" customWidth="1"/>
    <col min="2" max="2" width="5.28125" style="163" customWidth="1"/>
    <col min="3" max="3" width="79.8515625" style="164" customWidth="1"/>
    <col min="4" max="4" width="18.00390625" style="163" hidden="1" customWidth="1"/>
    <col min="5" max="5" width="21.421875" style="163" hidden="1" customWidth="1"/>
    <col min="6" max="6" width="35.7109375" style="163" customWidth="1"/>
    <col min="7" max="7" width="20.57421875" style="163" hidden="1" customWidth="1"/>
    <col min="8" max="8" width="10.28125" style="163" hidden="1" customWidth="1"/>
    <col min="9" max="9" width="20.28125" style="163" hidden="1" customWidth="1"/>
    <col min="10" max="10" width="17.57421875" style="163" hidden="1" customWidth="1"/>
    <col min="11" max="11" width="34.00390625" style="163" customWidth="1"/>
    <col min="12" max="12" width="19.140625" style="163" hidden="1" customWidth="1"/>
    <col min="13" max="13" width="14.28125" style="163" hidden="1" customWidth="1"/>
    <col min="14" max="14" width="21.140625" style="163" hidden="1" customWidth="1"/>
    <col min="15" max="15" width="13.8515625" style="163" hidden="1" customWidth="1"/>
    <col min="16" max="16" width="32.421875" style="163" customWidth="1"/>
    <col min="17" max="17" width="50.28125" style="164" hidden="1" customWidth="1"/>
    <col min="18" max="16384" width="9.140625" style="163" customWidth="1"/>
  </cols>
  <sheetData>
    <row r="1" spans="1:4" ht="13.5" customHeight="1">
      <c r="A1" s="543"/>
      <c r="B1" s="543"/>
      <c r="C1" s="544"/>
      <c r="D1" s="544"/>
    </row>
    <row r="2" spans="1:4" ht="45" customHeight="1" hidden="1">
      <c r="A2" s="543"/>
      <c r="B2" s="543"/>
      <c r="C2" s="544"/>
      <c r="D2" s="544"/>
    </row>
    <row r="3" spans="1:5" ht="18" customHeight="1">
      <c r="A3" s="545" t="s">
        <v>275</v>
      </c>
      <c r="B3" s="545"/>
      <c r="C3" s="545"/>
      <c r="D3" s="545"/>
      <c r="E3" s="545"/>
    </row>
    <row r="4" spans="1:17" ht="42" customHeight="1">
      <c r="A4" s="546" t="s">
        <v>273</v>
      </c>
      <c r="B4" s="546"/>
      <c r="C4" s="546"/>
      <c r="D4" s="546"/>
      <c r="E4" s="546"/>
      <c r="F4" s="546"/>
      <c r="G4" s="546"/>
      <c r="H4" s="546"/>
      <c r="I4" s="546"/>
      <c r="J4" s="546"/>
      <c r="K4" s="546"/>
      <c r="L4" s="546"/>
      <c r="M4" s="546"/>
      <c r="N4" s="546"/>
      <c r="O4" s="546"/>
      <c r="P4" s="546"/>
      <c r="Q4" s="546"/>
    </row>
    <row r="5" spans="1:4" ht="0.75" customHeight="1">
      <c r="A5" s="547"/>
      <c r="B5" s="547"/>
      <c r="C5" s="548"/>
      <c r="D5" s="548"/>
    </row>
    <row r="6" spans="1:17" ht="36" customHeight="1" thickBot="1">
      <c r="A6" s="542" t="s">
        <v>285</v>
      </c>
      <c r="B6" s="542"/>
      <c r="C6" s="542"/>
      <c r="D6" s="542"/>
      <c r="E6" s="542"/>
      <c r="F6" s="542"/>
      <c r="G6" s="542"/>
      <c r="H6" s="542"/>
      <c r="I6" s="542"/>
      <c r="J6" s="542"/>
      <c r="K6" s="542"/>
      <c r="L6" s="542"/>
      <c r="M6" s="542"/>
      <c r="N6" s="542"/>
      <c r="O6" s="542"/>
      <c r="P6" s="542"/>
      <c r="Q6" s="542"/>
    </row>
    <row r="7" spans="1:17" s="166" customFormat="1" ht="24" customHeight="1">
      <c r="A7" s="165"/>
      <c r="B7" s="557"/>
      <c r="C7" s="559" t="s">
        <v>2</v>
      </c>
      <c r="D7" s="561" t="s">
        <v>3</v>
      </c>
      <c r="E7" s="564">
        <v>44682</v>
      </c>
      <c r="F7" s="565"/>
      <c r="G7" s="565"/>
      <c r="H7" s="566"/>
      <c r="I7" s="564">
        <v>45047</v>
      </c>
      <c r="J7" s="565"/>
      <c r="K7" s="565"/>
      <c r="L7" s="565"/>
      <c r="M7" s="565"/>
      <c r="N7" s="565"/>
      <c r="O7" s="566"/>
      <c r="P7" s="573" t="s">
        <v>284</v>
      </c>
      <c r="Q7" s="549" t="s">
        <v>4</v>
      </c>
    </row>
    <row r="8" spans="1:17" s="166" customFormat="1" ht="17.25" customHeight="1">
      <c r="A8" s="551" t="s">
        <v>5</v>
      </c>
      <c r="B8" s="558"/>
      <c r="C8" s="560"/>
      <c r="D8" s="562"/>
      <c r="E8" s="567"/>
      <c r="F8" s="568"/>
      <c r="G8" s="568"/>
      <c r="H8" s="569"/>
      <c r="I8" s="567"/>
      <c r="J8" s="568"/>
      <c r="K8" s="568"/>
      <c r="L8" s="568"/>
      <c r="M8" s="568"/>
      <c r="N8" s="568"/>
      <c r="O8" s="569"/>
      <c r="P8" s="574"/>
      <c r="Q8" s="550"/>
    </row>
    <row r="9" spans="1:17" s="166" customFormat="1" ht="22.5" customHeight="1">
      <c r="A9" s="552"/>
      <c r="B9" s="558"/>
      <c r="C9" s="560"/>
      <c r="D9" s="563"/>
      <c r="E9" s="570"/>
      <c r="F9" s="571"/>
      <c r="G9" s="571"/>
      <c r="H9" s="572"/>
      <c r="I9" s="570"/>
      <c r="J9" s="571"/>
      <c r="K9" s="571"/>
      <c r="L9" s="571"/>
      <c r="M9" s="571"/>
      <c r="N9" s="571"/>
      <c r="O9" s="572"/>
      <c r="P9" s="574"/>
      <c r="Q9" s="550"/>
    </row>
    <row r="10" spans="1:17" ht="21" customHeight="1" thickBot="1">
      <c r="A10" s="209"/>
      <c r="B10" s="265"/>
      <c r="C10" s="266">
        <v>1</v>
      </c>
      <c r="D10" s="267">
        <v>2</v>
      </c>
      <c r="E10" s="267">
        <v>9</v>
      </c>
      <c r="F10" s="267">
        <v>2</v>
      </c>
      <c r="G10" s="267">
        <v>5</v>
      </c>
      <c r="H10" s="267">
        <v>6</v>
      </c>
      <c r="I10" s="267">
        <v>7</v>
      </c>
      <c r="J10" s="267">
        <v>8</v>
      </c>
      <c r="K10" s="267">
        <v>3</v>
      </c>
      <c r="L10" s="267">
        <v>10</v>
      </c>
      <c r="M10" s="267">
        <v>11</v>
      </c>
      <c r="N10" s="267">
        <v>12</v>
      </c>
      <c r="O10" s="267">
        <v>13</v>
      </c>
      <c r="P10" s="268">
        <v>4</v>
      </c>
      <c r="Q10" s="210">
        <v>15</v>
      </c>
    </row>
    <row r="11" spans="1:17" s="160" customFormat="1" ht="42.75" customHeight="1" thickBot="1">
      <c r="A11" s="159" t="s">
        <v>14</v>
      </c>
      <c r="B11" s="299" t="s">
        <v>15</v>
      </c>
      <c r="C11" s="300" t="s">
        <v>277</v>
      </c>
      <c r="D11" s="161" t="s">
        <v>14</v>
      </c>
      <c r="E11" s="162">
        <f>E12+E80</f>
        <v>426113235.23999995</v>
      </c>
      <c r="F11" s="245">
        <f>F12+F80</f>
        <v>122.3</v>
      </c>
      <c r="G11" s="245">
        <f>F11-E11</f>
        <v>-426113112.93999994</v>
      </c>
      <c r="H11" s="246">
        <f>F11/E11</f>
        <v>2.870129108548269E-07</v>
      </c>
      <c r="I11" s="245">
        <f>I12+I80</f>
        <v>381994751.74</v>
      </c>
      <c r="J11" s="245">
        <f>J12+J80</f>
        <v>16636685.38</v>
      </c>
      <c r="K11" s="245">
        <f>K12+K80</f>
        <v>116.6</v>
      </c>
      <c r="L11" s="245">
        <f>K11-J11</f>
        <v>-16636568.780000001</v>
      </c>
      <c r="M11" s="246">
        <f>K11/J11</f>
        <v>7.008607624459386E-06</v>
      </c>
      <c r="N11" s="245">
        <f>K11-I11</f>
        <v>-381994635.14</v>
      </c>
      <c r="O11" s="246">
        <f>K11/I11</f>
        <v>3.052397957534305E-07</v>
      </c>
      <c r="P11" s="247">
        <f>K11-F11</f>
        <v>-5.700000000000003</v>
      </c>
      <c r="Q11" s="239"/>
    </row>
    <row r="12" spans="1:17" s="238" customFormat="1" ht="45" customHeight="1" thickBot="1">
      <c r="A12" s="237"/>
      <c r="B12" s="301" t="s">
        <v>17</v>
      </c>
      <c r="C12" s="302" t="s">
        <v>278</v>
      </c>
      <c r="D12" s="243"/>
      <c r="E12" s="244">
        <f>E13+E39+E40+E62+E66+E76</f>
        <v>352618682.34999996</v>
      </c>
      <c r="F12" s="273">
        <v>100.3</v>
      </c>
      <c r="G12" s="273">
        <f>F12-E12</f>
        <v>-352618582.04999995</v>
      </c>
      <c r="H12" s="274">
        <f>F12/E12</f>
        <v>2.844432386042577E-07</v>
      </c>
      <c r="I12" s="273">
        <f>I13+I39+I40+I62+I66+I76</f>
        <v>320644567.63</v>
      </c>
      <c r="J12" s="273">
        <f>J13+J39+J40+J62+J66+J76</f>
        <v>14406368.9</v>
      </c>
      <c r="K12" s="273">
        <v>92.1</v>
      </c>
      <c r="L12" s="273">
        <f>K12-J12</f>
        <v>-14406276.8</v>
      </c>
      <c r="M12" s="274">
        <f>I12/G12</f>
        <v>-0.9093240797631414</v>
      </c>
      <c r="N12" s="273">
        <f>K12-I12</f>
        <v>-320644475.53</v>
      </c>
      <c r="O12" s="274">
        <f>K12/I12</f>
        <v>2.8723393220332537E-07</v>
      </c>
      <c r="P12" s="275">
        <f>K12-F12</f>
        <v>-8.200000000000003</v>
      </c>
      <c r="Q12" s="240"/>
    </row>
    <row r="13" spans="1:17" ht="42.75" customHeight="1" outlineLevel="2">
      <c r="A13" s="172" t="s">
        <v>19</v>
      </c>
      <c r="B13" s="319" t="s">
        <v>20</v>
      </c>
      <c r="C13" s="303" t="s">
        <v>21</v>
      </c>
      <c r="D13" s="241" t="s">
        <v>19</v>
      </c>
      <c r="E13" s="242">
        <v>190630093.23</v>
      </c>
      <c r="F13" s="276">
        <v>45.6</v>
      </c>
      <c r="G13" s="277">
        <f>F13-E13</f>
        <v>-190630047.63</v>
      </c>
      <c r="H13" s="278">
        <f>F13/E13</f>
        <v>2.3920672348925757E-07</v>
      </c>
      <c r="I13" s="279">
        <v>179717500</v>
      </c>
      <c r="J13" s="280">
        <v>8290000</v>
      </c>
      <c r="K13" s="276">
        <v>49.3</v>
      </c>
      <c r="L13" s="279">
        <f>K13-J13</f>
        <v>-8289950.7</v>
      </c>
      <c r="M13" s="278">
        <f>K13/J13</f>
        <v>5.94692400482509E-06</v>
      </c>
      <c r="N13" s="279">
        <f>K13-I13</f>
        <v>-179717450.7</v>
      </c>
      <c r="O13" s="278">
        <f aca="true" t="shared" si="0" ref="O13:O78">K13/I13</f>
        <v>2.7431941797543365E-07</v>
      </c>
      <c r="P13" s="320">
        <f>K13-F13</f>
        <v>3.6999999999999957</v>
      </c>
      <c r="Q13" s="309" t="s">
        <v>266</v>
      </c>
    </row>
    <row r="14" spans="1:17" ht="6.75" customHeight="1" hidden="1" outlineLevel="2">
      <c r="A14" s="172"/>
      <c r="B14" s="321"/>
      <c r="C14" s="304"/>
      <c r="D14" s="212"/>
      <c r="E14" s="193"/>
      <c r="F14" s="281"/>
      <c r="G14" s="282"/>
      <c r="H14" s="283"/>
      <c r="I14" s="284"/>
      <c r="J14" s="285"/>
      <c r="K14" s="285"/>
      <c r="L14" s="284"/>
      <c r="M14" s="283"/>
      <c r="N14" s="284"/>
      <c r="O14" s="283"/>
      <c r="P14" s="322"/>
      <c r="Q14" s="310"/>
    </row>
    <row r="15" spans="1:17" ht="45" customHeight="1" hidden="1" outlineLevel="3">
      <c r="A15" s="172" t="s">
        <v>22</v>
      </c>
      <c r="B15" s="321"/>
      <c r="C15" s="305" t="s">
        <v>23</v>
      </c>
      <c r="D15" s="213" t="s">
        <v>22</v>
      </c>
      <c r="E15" s="169"/>
      <c r="F15" s="286"/>
      <c r="G15" s="287">
        <f aca="true" t="shared" si="1" ref="G15:G40">F15-E15</f>
        <v>0</v>
      </c>
      <c r="H15" s="288" t="e">
        <f aca="true" t="shared" si="2" ref="H15:H40">F15/E15</f>
        <v>#DIV/0!</v>
      </c>
      <c r="I15" s="286">
        <v>148555700</v>
      </c>
      <c r="J15" s="286"/>
      <c r="K15" s="286"/>
      <c r="L15" s="286"/>
      <c r="M15" s="289" t="e">
        <f aca="true" t="shared" si="3" ref="M15:M75">I15/G15</f>
        <v>#DIV/0!</v>
      </c>
      <c r="N15" s="286"/>
      <c r="O15" s="289">
        <f t="shared" si="0"/>
        <v>0</v>
      </c>
      <c r="P15" s="323">
        <f aca="true" t="shared" si="4" ref="P15:P40">K15-F15</f>
        <v>0</v>
      </c>
      <c r="Q15" s="311"/>
    </row>
    <row r="16" spans="1:17" ht="45" customHeight="1" hidden="1" outlineLevel="4">
      <c r="A16" s="172" t="s">
        <v>24</v>
      </c>
      <c r="B16" s="324"/>
      <c r="C16" s="306" t="s">
        <v>25</v>
      </c>
      <c r="D16" s="214" t="s">
        <v>24</v>
      </c>
      <c r="E16" s="169"/>
      <c r="F16" s="290"/>
      <c r="G16" s="291">
        <f t="shared" si="1"/>
        <v>0</v>
      </c>
      <c r="H16" s="292" t="e">
        <f t="shared" si="2"/>
        <v>#DIV/0!</v>
      </c>
      <c r="I16" s="290">
        <v>148555700</v>
      </c>
      <c r="J16" s="290"/>
      <c r="K16" s="290"/>
      <c r="L16" s="290"/>
      <c r="M16" s="293" t="e">
        <f t="shared" si="3"/>
        <v>#DIV/0!</v>
      </c>
      <c r="N16" s="290"/>
      <c r="O16" s="293">
        <f t="shared" si="0"/>
        <v>0</v>
      </c>
      <c r="P16" s="325">
        <f t="shared" si="4"/>
        <v>0</v>
      </c>
      <c r="Q16" s="312"/>
    </row>
    <row r="17" spans="1:17" ht="45" customHeight="1" hidden="1" outlineLevel="5">
      <c r="A17" s="172" t="s">
        <v>24</v>
      </c>
      <c r="B17" s="324"/>
      <c r="C17" s="306" t="s">
        <v>26</v>
      </c>
      <c r="D17" s="214" t="s">
        <v>24</v>
      </c>
      <c r="E17" s="169"/>
      <c r="F17" s="290"/>
      <c r="G17" s="291">
        <f t="shared" si="1"/>
        <v>0</v>
      </c>
      <c r="H17" s="292" t="e">
        <f t="shared" si="2"/>
        <v>#DIV/0!</v>
      </c>
      <c r="I17" s="290">
        <v>148555700</v>
      </c>
      <c r="J17" s="290"/>
      <c r="K17" s="290"/>
      <c r="L17" s="290"/>
      <c r="M17" s="293" t="e">
        <f t="shared" si="3"/>
        <v>#DIV/0!</v>
      </c>
      <c r="N17" s="290"/>
      <c r="O17" s="293">
        <f t="shared" si="0"/>
        <v>0</v>
      </c>
      <c r="P17" s="325">
        <f t="shared" si="4"/>
        <v>0</v>
      </c>
      <c r="Q17" s="312"/>
    </row>
    <row r="18" spans="1:17" ht="45" customHeight="1" hidden="1" outlineLevel="5">
      <c r="A18" s="172" t="s">
        <v>27</v>
      </c>
      <c r="B18" s="324"/>
      <c r="C18" s="306" t="s">
        <v>28</v>
      </c>
      <c r="D18" s="214" t="s">
        <v>27</v>
      </c>
      <c r="E18" s="169"/>
      <c r="F18" s="290"/>
      <c r="G18" s="291">
        <f t="shared" si="1"/>
        <v>0</v>
      </c>
      <c r="H18" s="292" t="e">
        <f t="shared" si="2"/>
        <v>#DIV/0!</v>
      </c>
      <c r="I18" s="290">
        <v>0</v>
      </c>
      <c r="J18" s="290"/>
      <c r="K18" s="290"/>
      <c r="L18" s="290"/>
      <c r="M18" s="293" t="e">
        <f t="shared" si="3"/>
        <v>#DIV/0!</v>
      </c>
      <c r="N18" s="290"/>
      <c r="O18" s="293" t="e">
        <f t="shared" si="0"/>
        <v>#DIV/0!</v>
      </c>
      <c r="P18" s="325">
        <f t="shared" si="4"/>
        <v>0</v>
      </c>
      <c r="Q18" s="312"/>
    </row>
    <row r="19" spans="1:17" ht="45" customHeight="1" hidden="1" outlineLevel="5">
      <c r="A19" s="172" t="s">
        <v>29</v>
      </c>
      <c r="B19" s="324"/>
      <c r="C19" s="306" t="s">
        <v>26</v>
      </c>
      <c r="D19" s="214" t="s">
        <v>29</v>
      </c>
      <c r="E19" s="169"/>
      <c r="F19" s="290"/>
      <c r="G19" s="291">
        <f t="shared" si="1"/>
        <v>0</v>
      </c>
      <c r="H19" s="292" t="e">
        <f t="shared" si="2"/>
        <v>#DIV/0!</v>
      </c>
      <c r="I19" s="290">
        <v>0</v>
      </c>
      <c r="J19" s="290"/>
      <c r="K19" s="290"/>
      <c r="L19" s="290"/>
      <c r="M19" s="293" t="e">
        <f t="shared" si="3"/>
        <v>#DIV/0!</v>
      </c>
      <c r="N19" s="290"/>
      <c r="O19" s="293" t="e">
        <f t="shared" si="0"/>
        <v>#DIV/0!</v>
      </c>
      <c r="P19" s="325">
        <f t="shared" si="4"/>
        <v>0</v>
      </c>
      <c r="Q19" s="312"/>
    </row>
    <row r="20" spans="1:17" ht="45" customHeight="1" hidden="1" outlineLevel="5">
      <c r="A20" s="172" t="s">
        <v>30</v>
      </c>
      <c r="B20" s="324"/>
      <c r="C20" s="306" t="s">
        <v>26</v>
      </c>
      <c r="D20" s="214" t="s">
        <v>30</v>
      </c>
      <c r="E20" s="169"/>
      <c r="F20" s="290"/>
      <c r="G20" s="291">
        <f t="shared" si="1"/>
        <v>0</v>
      </c>
      <c r="H20" s="292" t="e">
        <f t="shared" si="2"/>
        <v>#DIV/0!</v>
      </c>
      <c r="I20" s="290">
        <v>0</v>
      </c>
      <c r="J20" s="290"/>
      <c r="K20" s="290"/>
      <c r="L20" s="290"/>
      <c r="M20" s="293" t="e">
        <f t="shared" si="3"/>
        <v>#DIV/0!</v>
      </c>
      <c r="N20" s="290"/>
      <c r="O20" s="293" t="e">
        <f t="shared" si="0"/>
        <v>#DIV/0!</v>
      </c>
      <c r="P20" s="325">
        <f t="shared" si="4"/>
        <v>0</v>
      </c>
      <c r="Q20" s="312"/>
    </row>
    <row r="21" spans="1:17" ht="45" customHeight="1" hidden="1" outlineLevel="5">
      <c r="A21" s="172" t="s">
        <v>31</v>
      </c>
      <c r="B21" s="324"/>
      <c r="C21" s="306" t="s">
        <v>28</v>
      </c>
      <c r="D21" s="214" t="s">
        <v>31</v>
      </c>
      <c r="E21" s="169"/>
      <c r="F21" s="290"/>
      <c r="G21" s="291">
        <f t="shared" si="1"/>
        <v>0</v>
      </c>
      <c r="H21" s="292" t="e">
        <f t="shared" si="2"/>
        <v>#DIV/0!</v>
      </c>
      <c r="I21" s="290">
        <v>0</v>
      </c>
      <c r="J21" s="290"/>
      <c r="K21" s="290"/>
      <c r="L21" s="290"/>
      <c r="M21" s="293" t="e">
        <f t="shared" si="3"/>
        <v>#DIV/0!</v>
      </c>
      <c r="N21" s="290"/>
      <c r="O21" s="293" t="e">
        <f t="shared" si="0"/>
        <v>#DIV/0!</v>
      </c>
      <c r="P21" s="325">
        <f t="shared" si="4"/>
        <v>0</v>
      </c>
      <c r="Q21" s="312"/>
    </row>
    <row r="22" spans="1:17" ht="45" customHeight="1" hidden="1" outlineLevel="3">
      <c r="A22" s="172" t="s">
        <v>32</v>
      </c>
      <c r="B22" s="324"/>
      <c r="C22" s="306" t="s">
        <v>23</v>
      </c>
      <c r="D22" s="214" t="s">
        <v>32</v>
      </c>
      <c r="E22" s="169"/>
      <c r="F22" s="290"/>
      <c r="G22" s="291">
        <f t="shared" si="1"/>
        <v>0</v>
      </c>
      <c r="H22" s="292" t="e">
        <f t="shared" si="2"/>
        <v>#DIV/0!</v>
      </c>
      <c r="I22" s="290">
        <v>750300</v>
      </c>
      <c r="J22" s="290"/>
      <c r="K22" s="290"/>
      <c r="L22" s="290"/>
      <c r="M22" s="293" t="e">
        <f t="shared" si="3"/>
        <v>#DIV/0!</v>
      </c>
      <c r="N22" s="290"/>
      <c r="O22" s="293">
        <f t="shared" si="0"/>
        <v>0</v>
      </c>
      <c r="P22" s="325">
        <f t="shared" si="4"/>
        <v>0</v>
      </c>
      <c r="Q22" s="312"/>
    </row>
    <row r="23" spans="1:17" ht="45" customHeight="1" hidden="1" outlineLevel="4">
      <c r="A23" s="172" t="s">
        <v>33</v>
      </c>
      <c r="B23" s="324"/>
      <c r="C23" s="306" t="s">
        <v>34</v>
      </c>
      <c r="D23" s="214" t="s">
        <v>33</v>
      </c>
      <c r="E23" s="169"/>
      <c r="F23" s="290"/>
      <c r="G23" s="291">
        <f t="shared" si="1"/>
        <v>0</v>
      </c>
      <c r="H23" s="292" t="e">
        <f t="shared" si="2"/>
        <v>#DIV/0!</v>
      </c>
      <c r="I23" s="290">
        <v>750300</v>
      </c>
      <c r="J23" s="290"/>
      <c r="K23" s="290"/>
      <c r="L23" s="290"/>
      <c r="M23" s="293" t="e">
        <f t="shared" si="3"/>
        <v>#DIV/0!</v>
      </c>
      <c r="N23" s="290"/>
      <c r="O23" s="293">
        <f t="shared" si="0"/>
        <v>0</v>
      </c>
      <c r="P23" s="325">
        <f t="shared" si="4"/>
        <v>0</v>
      </c>
      <c r="Q23" s="312"/>
    </row>
    <row r="24" spans="1:17" ht="45" customHeight="1" hidden="1" outlineLevel="5">
      <c r="A24" s="172" t="s">
        <v>33</v>
      </c>
      <c r="B24" s="324"/>
      <c r="C24" s="306" t="s">
        <v>35</v>
      </c>
      <c r="D24" s="214" t="s">
        <v>33</v>
      </c>
      <c r="E24" s="169"/>
      <c r="F24" s="290"/>
      <c r="G24" s="291">
        <f t="shared" si="1"/>
        <v>0</v>
      </c>
      <c r="H24" s="292" t="e">
        <f t="shared" si="2"/>
        <v>#DIV/0!</v>
      </c>
      <c r="I24" s="290">
        <v>750300</v>
      </c>
      <c r="J24" s="290"/>
      <c r="K24" s="290"/>
      <c r="L24" s="290"/>
      <c r="M24" s="293" t="e">
        <f t="shared" si="3"/>
        <v>#DIV/0!</v>
      </c>
      <c r="N24" s="290"/>
      <c r="O24" s="293">
        <f t="shared" si="0"/>
        <v>0</v>
      </c>
      <c r="P24" s="325">
        <f t="shared" si="4"/>
        <v>0</v>
      </c>
      <c r="Q24" s="312"/>
    </row>
    <row r="25" spans="1:17" ht="45" customHeight="1" hidden="1" outlineLevel="5">
      <c r="A25" s="172" t="s">
        <v>36</v>
      </c>
      <c r="B25" s="324"/>
      <c r="C25" s="306" t="s">
        <v>35</v>
      </c>
      <c r="D25" s="214" t="s">
        <v>36</v>
      </c>
      <c r="E25" s="169"/>
      <c r="F25" s="290"/>
      <c r="G25" s="291">
        <f t="shared" si="1"/>
        <v>0</v>
      </c>
      <c r="H25" s="292" t="e">
        <f t="shared" si="2"/>
        <v>#DIV/0!</v>
      </c>
      <c r="I25" s="290">
        <v>0</v>
      </c>
      <c r="J25" s="290"/>
      <c r="K25" s="290"/>
      <c r="L25" s="290"/>
      <c r="M25" s="293" t="e">
        <f t="shared" si="3"/>
        <v>#DIV/0!</v>
      </c>
      <c r="N25" s="290"/>
      <c r="O25" s="293" t="e">
        <f t="shared" si="0"/>
        <v>#DIV/0!</v>
      </c>
      <c r="P25" s="325">
        <f t="shared" si="4"/>
        <v>0</v>
      </c>
      <c r="Q25" s="312"/>
    </row>
    <row r="26" spans="1:17" ht="45" customHeight="1" hidden="1" outlineLevel="5">
      <c r="A26" s="172" t="s">
        <v>37</v>
      </c>
      <c r="B26" s="324"/>
      <c r="C26" s="306">
        <v>1.82101020200121E+19</v>
      </c>
      <c r="D26" s="214" t="s">
        <v>37</v>
      </c>
      <c r="E26" s="169"/>
      <c r="F26" s="290"/>
      <c r="G26" s="291">
        <f t="shared" si="1"/>
        <v>0</v>
      </c>
      <c r="H26" s="292" t="e">
        <f t="shared" si="2"/>
        <v>#DIV/0!</v>
      </c>
      <c r="I26" s="290">
        <v>0</v>
      </c>
      <c r="J26" s="290"/>
      <c r="K26" s="290"/>
      <c r="L26" s="290"/>
      <c r="M26" s="293" t="e">
        <f t="shared" si="3"/>
        <v>#DIV/0!</v>
      </c>
      <c r="N26" s="290"/>
      <c r="O26" s="293" t="e">
        <f t="shared" si="0"/>
        <v>#DIV/0!</v>
      </c>
      <c r="P26" s="325">
        <f t="shared" si="4"/>
        <v>0</v>
      </c>
      <c r="Q26" s="312"/>
    </row>
    <row r="27" spans="1:17" ht="45" customHeight="1" hidden="1" outlineLevel="5">
      <c r="A27" s="172" t="s">
        <v>38</v>
      </c>
      <c r="B27" s="324"/>
      <c r="C27" s="306" t="s">
        <v>35</v>
      </c>
      <c r="D27" s="214" t="s">
        <v>38</v>
      </c>
      <c r="E27" s="169"/>
      <c r="F27" s="290"/>
      <c r="G27" s="291">
        <f t="shared" si="1"/>
        <v>0</v>
      </c>
      <c r="H27" s="292" t="e">
        <f t="shared" si="2"/>
        <v>#DIV/0!</v>
      </c>
      <c r="I27" s="290">
        <v>0</v>
      </c>
      <c r="J27" s="290"/>
      <c r="K27" s="290"/>
      <c r="L27" s="290"/>
      <c r="M27" s="293" t="e">
        <f t="shared" si="3"/>
        <v>#DIV/0!</v>
      </c>
      <c r="N27" s="290"/>
      <c r="O27" s="293" t="e">
        <f t="shared" si="0"/>
        <v>#DIV/0!</v>
      </c>
      <c r="P27" s="325">
        <f t="shared" si="4"/>
        <v>0</v>
      </c>
      <c r="Q27" s="312"/>
    </row>
    <row r="28" spans="1:17" ht="45" customHeight="1" hidden="1" outlineLevel="3">
      <c r="A28" s="172" t="s">
        <v>39</v>
      </c>
      <c r="B28" s="324"/>
      <c r="C28" s="306" t="s">
        <v>23</v>
      </c>
      <c r="D28" s="214" t="s">
        <v>39</v>
      </c>
      <c r="E28" s="169"/>
      <c r="F28" s="290"/>
      <c r="G28" s="291">
        <f t="shared" si="1"/>
        <v>0</v>
      </c>
      <c r="H28" s="292" t="e">
        <f t="shared" si="2"/>
        <v>#DIV/0!</v>
      </c>
      <c r="I28" s="290">
        <v>450200</v>
      </c>
      <c r="J28" s="290"/>
      <c r="K28" s="290"/>
      <c r="L28" s="290"/>
      <c r="M28" s="293" t="e">
        <f t="shared" si="3"/>
        <v>#DIV/0!</v>
      </c>
      <c r="N28" s="290"/>
      <c r="O28" s="293">
        <f t="shared" si="0"/>
        <v>0</v>
      </c>
      <c r="P28" s="325">
        <f t="shared" si="4"/>
        <v>0</v>
      </c>
      <c r="Q28" s="312"/>
    </row>
    <row r="29" spans="1:17" ht="45" customHeight="1" hidden="1" outlineLevel="4">
      <c r="A29" s="172" t="s">
        <v>40</v>
      </c>
      <c r="B29" s="324"/>
      <c r="C29" s="306" t="s">
        <v>41</v>
      </c>
      <c r="D29" s="214" t="s">
        <v>40</v>
      </c>
      <c r="E29" s="169"/>
      <c r="F29" s="290"/>
      <c r="G29" s="291">
        <f t="shared" si="1"/>
        <v>0</v>
      </c>
      <c r="H29" s="292" t="e">
        <f t="shared" si="2"/>
        <v>#DIV/0!</v>
      </c>
      <c r="I29" s="290">
        <v>450200</v>
      </c>
      <c r="J29" s="290"/>
      <c r="K29" s="290"/>
      <c r="L29" s="290"/>
      <c r="M29" s="293" t="e">
        <f t="shared" si="3"/>
        <v>#DIV/0!</v>
      </c>
      <c r="N29" s="290"/>
      <c r="O29" s="293">
        <f t="shared" si="0"/>
        <v>0</v>
      </c>
      <c r="P29" s="325">
        <f t="shared" si="4"/>
        <v>0</v>
      </c>
      <c r="Q29" s="312"/>
    </row>
    <row r="30" spans="1:17" ht="45" customHeight="1" hidden="1" outlineLevel="5">
      <c r="A30" s="172" t="s">
        <v>40</v>
      </c>
      <c r="B30" s="324"/>
      <c r="C30" s="306" t="s">
        <v>42</v>
      </c>
      <c r="D30" s="214" t="s">
        <v>40</v>
      </c>
      <c r="E30" s="169"/>
      <c r="F30" s="290"/>
      <c r="G30" s="291">
        <f t="shared" si="1"/>
        <v>0</v>
      </c>
      <c r="H30" s="292" t="e">
        <f t="shared" si="2"/>
        <v>#DIV/0!</v>
      </c>
      <c r="I30" s="290">
        <v>450200</v>
      </c>
      <c r="J30" s="290"/>
      <c r="K30" s="290"/>
      <c r="L30" s="290"/>
      <c r="M30" s="293" t="e">
        <f t="shared" si="3"/>
        <v>#DIV/0!</v>
      </c>
      <c r="N30" s="290"/>
      <c r="O30" s="293">
        <f t="shared" si="0"/>
        <v>0</v>
      </c>
      <c r="P30" s="325">
        <f t="shared" si="4"/>
        <v>0</v>
      </c>
      <c r="Q30" s="312"/>
    </row>
    <row r="31" spans="1:17" ht="45" customHeight="1" hidden="1" outlineLevel="5">
      <c r="A31" s="172" t="s">
        <v>43</v>
      </c>
      <c r="B31" s="324"/>
      <c r="C31" s="306" t="s">
        <v>44</v>
      </c>
      <c r="D31" s="214" t="s">
        <v>43</v>
      </c>
      <c r="E31" s="169"/>
      <c r="F31" s="290"/>
      <c r="G31" s="291">
        <f t="shared" si="1"/>
        <v>0</v>
      </c>
      <c r="H31" s="292" t="e">
        <f t="shared" si="2"/>
        <v>#DIV/0!</v>
      </c>
      <c r="I31" s="290">
        <v>0</v>
      </c>
      <c r="J31" s="290"/>
      <c r="K31" s="290"/>
      <c r="L31" s="290"/>
      <c r="M31" s="293" t="e">
        <f t="shared" si="3"/>
        <v>#DIV/0!</v>
      </c>
      <c r="N31" s="290"/>
      <c r="O31" s="293" t="e">
        <f t="shared" si="0"/>
        <v>#DIV/0!</v>
      </c>
      <c r="P31" s="325">
        <f t="shared" si="4"/>
        <v>0</v>
      </c>
      <c r="Q31" s="312"/>
    </row>
    <row r="32" spans="1:17" ht="45" customHeight="1" hidden="1" outlineLevel="5">
      <c r="A32" s="172" t="s">
        <v>45</v>
      </c>
      <c r="B32" s="324"/>
      <c r="C32" s="306">
        <v>1.82101020300121E+19</v>
      </c>
      <c r="D32" s="214" t="s">
        <v>45</v>
      </c>
      <c r="E32" s="169"/>
      <c r="F32" s="290"/>
      <c r="G32" s="291">
        <f t="shared" si="1"/>
        <v>0</v>
      </c>
      <c r="H32" s="292" t="e">
        <f t="shared" si="2"/>
        <v>#DIV/0!</v>
      </c>
      <c r="I32" s="290">
        <v>0</v>
      </c>
      <c r="J32" s="290"/>
      <c r="K32" s="290"/>
      <c r="L32" s="290"/>
      <c r="M32" s="293" t="e">
        <f t="shared" si="3"/>
        <v>#DIV/0!</v>
      </c>
      <c r="N32" s="290"/>
      <c r="O32" s="293" t="e">
        <f t="shared" si="0"/>
        <v>#DIV/0!</v>
      </c>
      <c r="P32" s="325">
        <f t="shared" si="4"/>
        <v>0</v>
      </c>
      <c r="Q32" s="312"/>
    </row>
    <row r="33" spans="1:17" ht="45" customHeight="1" hidden="1" outlineLevel="5">
      <c r="A33" s="172" t="s">
        <v>46</v>
      </c>
      <c r="B33" s="324"/>
      <c r="C33" s="306" t="s">
        <v>44</v>
      </c>
      <c r="D33" s="214" t="s">
        <v>46</v>
      </c>
      <c r="E33" s="169"/>
      <c r="F33" s="290"/>
      <c r="G33" s="291">
        <f t="shared" si="1"/>
        <v>0</v>
      </c>
      <c r="H33" s="292" t="e">
        <f t="shared" si="2"/>
        <v>#DIV/0!</v>
      </c>
      <c r="I33" s="290">
        <v>0</v>
      </c>
      <c r="J33" s="290"/>
      <c r="K33" s="290"/>
      <c r="L33" s="290"/>
      <c r="M33" s="293" t="e">
        <f t="shared" si="3"/>
        <v>#DIV/0!</v>
      </c>
      <c r="N33" s="290"/>
      <c r="O33" s="293" t="e">
        <f t="shared" si="0"/>
        <v>#DIV/0!</v>
      </c>
      <c r="P33" s="325">
        <f t="shared" si="4"/>
        <v>0</v>
      </c>
      <c r="Q33" s="312"/>
    </row>
    <row r="34" spans="1:17" ht="45" customHeight="1" hidden="1" outlineLevel="5">
      <c r="A34" s="172" t="s">
        <v>47</v>
      </c>
      <c r="B34" s="324"/>
      <c r="C34" s="306" t="s">
        <v>44</v>
      </c>
      <c r="D34" s="214" t="s">
        <v>47</v>
      </c>
      <c r="E34" s="169"/>
      <c r="F34" s="290"/>
      <c r="G34" s="291">
        <f t="shared" si="1"/>
        <v>0</v>
      </c>
      <c r="H34" s="292" t="e">
        <f t="shared" si="2"/>
        <v>#DIV/0!</v>
      </c>
      <c r="I34" s="290">
        <v>0</v>
      </c>
      <c r="J34" s="290"/>
      <c r="K34" s="290"/>
      <c r="L34" s="290"/>
      <c r="M34" s="293" t="e">
        <f t="shared" si="3"/>
        <v>#DIV/0!</v>
      </c>
      <c r="N34" s="290"/>
      <c r="O34" s="293" t="e">
        <f t="shared" si="0"/>
        <v>#DIV/0!</v>
      </c>
      <c r="P34" s="325">
        <f t="shared" si="4"/>
        <v>0</v>
      </c>
      <c r="Q34" s="312"/>
    </row>
    <row r="35" spans="1:17" ht="45" customHeight="1" hidden="1" outlineLevel="3">
      <c r="A35" s="172" t="s">
        <v>48</v>
      </c>
      <c r="B35" s="324"/>
      <c r="C35" s="306" t="s">
        <v>23</v>
      </c>
      <c r="D35" s="214" t="s">
        <v>48</v>
      </c>
      <c r="E35" s="169"/>
      <c r="F35" s="290"/>
      <c r="G35" s="291">
        <f t="shared" si="1"/>
        <v>0</v>
      </c>
      <c r="H35" s="292" t="e">
        <f t="shared" si="2"/>
        <v>#DIV/0!</v>
      </c>
      <c r="I35" s="290">
        <v>300100</v>
      </c>
      <c r="J35" s="290"/>
      <c r="K35" s="290"/>
      <c r="L35" s="290"/>
      <c r="M35" s="293" t="e">
        <f t="shared" si="3"/>
        <v>#DIV/0!</v>
      </c>
      <c r="N35" s="290"/>
      <c r="O35" s="293">
        <f t="shared" si="0"/>
        <v>0</v>
      </c>
      <c r="P35" s="325">
        <f t="shared" si="4"/>
        <v>0</v>
      </c>
      <c r="Q35" s="312"/>
    </row>
    <row r="36" spans="1:17" ht="45" customHeight="1" hidden="1" outlineLevel="4">
      <c r="A36" s="172" t="s">
        <v>49</v>
      </c>
      <c r="B36" s="324"/>
      <c r="C36" s="306" t="s">
        <v>50</v>
      </c>
      <c r="D36" s="214" t="s">
        <v>49</v>
      </c>
      <c r="E36" s="169"/>
      <c r="F36" s="290"/>
      <c r="G36" s="291">
        <f t="shared" si="1"/>
        <v>0</v>
      </c>
      <c r="H36" s="292" t="e">
        <f t="shared" si="2"/>
        <v>#DIV/0!</v>
      </c>
      <c r="I36" s="290">
        <v>300100</v>
      </c>
      <c r="J36" s="290"/>
      <c r="K36" s="290"/>
      <c r="L36" s="290"/>
      <c r="M36" s="293" t="e">
        <f t="shared" si="3"/>
        <v>#DIV/0!</v>
      </c>
      <c r="N36" s="290"/>
      <c r="O36" s="293">
        <f t="shared" si="0"/>
        <v>0</v>
      </c>
      <c r="P36" s="325">
        <f t="shared" si="4"/>
        <v>0</v>
      </c>
      <c r="Q36" s="312"/>
    </row>
    <row r="37" spans="1:17" ht="45" customHeight="1" hidden="1" outlineLevel="5">
      <c r="A37" s="172" t="s">
        <v>49</v>
      </c>
      <c r="B37" s="324"/>
      <c r="C37" s="306" t="s">
        <v>51</v>
      </c>
      <c r="D37" s="214" t="s">
        <v>49</v>
      </c>
      <c r="E37" s="169"/>
      <c r="F37" s="290"/>
      <c r="G37" s="291">
        <f t="shared" si="1"/>
        <v>0</v>
      </c>
      <c r="H37" s="292" t="e">
        <f t="shared" si="2"/>
        <v>#DIV/0!</v>
      </c>
      <c r="I37" s="290">
        <v>300100</v>
      </c>
      <c r="J37" s="290"/>
      <c r="K37" s="290"/>
      <c r="L37" s="290"/>
      <c r="M37" s="293" t="e">
        <f t="shared" si="3"/>
        <v>#DIV/0!</v>
      </c>
      <c r="N37" s="290"/>
      <c r="O37" s="293">
        <f t="shared" si="0"/>
        <v>0</v>
      </c>
      <c r="P37" s="325">
        <f t="shared" si="4"/>
        <v>0</v>
      </c>
      <c r="Q37" s="312"/>
    </row>
    <row r="38" spans="1:17" ht="45" customHeight="1" hidden="1" outlineLevel="5">
      <c r="A38" s="172" t="s">
        <v>52</v>
      </c>
      <c r="B38" s="324"/>
      <c r="C38" s="306" t="s">
        <v>53</v>
      </c>
      <c r="D38" s="214" t="s">
        <v>52</v>
      </c>
      <c r="E38" s="169">
        <v>8650982.19</v>
      </c>
      <c r="F38" s="290"/>
      <c r="G38" s="291">
        <f t="shared" si="1"/>
        <v>-8650982.19</v>
      </c>
      <c r="H38" s="292">
        <f t="shared" si="2"/>
        <v>0</v>
      </c>
      <c r="I38" s="290">
        <v>0</v>
      </c>
      <c r="J38" s="290"/>
      <c r="K38" s="290"/>
      <c r="L38" s="290"/>
      <c r="M38" s="293">
        <f t="shared" si="3"/>
        <v>0</v>
      </c>
      <c r="N38" s="290"/>
      <c r="O38" s="293" t="e">
        <f t="shared" si="0"/>
        <v>#DIV/0!</v>
      </c>
      <c r="P38" s="325">
        <f t="shared" si="4"/>
        <v>0</v>
      </c>
      <c r="Q38" s="312"/>
    </row>
    <row r="39" spans="1:17" ht="41.25" customHeight="1" outlineLevel="2" collapsed="1">
      <c r="A39" s="172" t="s">
        <v>54</v>
      </c>
      <c r="B39" s="324" t="s">
        <v>55</v>
      </c>
      <c r="C39" s="306" t="s">
        <v>56</v>
      </c>
      <c r="D39" s="214" t="s">
        <v>54</v>
      </c>
      <c r="E39" s="169">
        <v>10254357.32</v>
      </c>
      <c r="F39" s="290">
        <v>2.9</v>
      </c>
      <c r="G39" s="291">
        <f t="shared" si="1"/>
        <v>-10254354.42</v>
      </c>
      <c r="H39" s="292">
        <f t="shared" si="2"/>
        <v>2.828066069380933E-07</v>
      </c>
      <c r="I39" s="290">
        <v>9197170</v>
      </c>
      <c r="J39" s="290">
        <v>676056.9</v>
      </c>
      <c r="K39" s="290">
        <v>3.3</v>
      </c>
      <c r="L39" s="294">
        <f>K39-J39</f>
        <v>-676053.6</v>
      </c>
      <c r="M39" s="293">
        <f t="shared" si="3"/>
        <v>-0.8969038540409646</v>
      </c>
      <c r="N39" s="290">
        <f>K39-I39</f>
        <v>-9197166.7</v>
      </c>
      <c r="O39" s="293">
        <f t="shared" si="0"/>
        <v>3.588060240269561E-07</v>
      </c>
      <c r="P39" s="325">
        <f t="shared" si="4"/>
        <v>0.3999999999999999</v>
      </c>
      <c r="Q39" s="313" t="s">
        <v>267</v>
      </c>
    </row>
    <row r="40" spans="1:17" ht="58.5" customHeight="1" hidden="1" outlineLevel="1">
      <c r="A40" s="172" t="s">
        <v>57</v>
      </c>
      <c r="B40" s="324" t="s">
        <v>58</v>
      </c>
      <c r="C40" s="306" t="s">
        <v>59</v>
      </c>
      <c r="D40" s="214" t="s">
        <v>57</v>
      </c>
      <c r="E40" s="170">
        <f>E41+E42+E52+E56</f>
        <v>45903932.26</v>
      </c>
      <c r="F40" s="290">
        <f>F41+F42+F52+F56</f>
        <v>140605.81</v>
      </c>
      <c r="G40" s="291">
        <f t="shared" si="1"/>
        <v>-45763326.449999996</v>
      </c>
      <c r="H40" s="292">
        <f t="shared" si="2"/>
        <v>0.0030630449958754797</v>
      </c>
      <c r="I40" s="290">
        <f>I41+I42+I52+I56</f>
        <v>44278800</v>
      </c>
      <c r="J40" s="290">
        <f>J41+J42+J52+J56</f>
        <v>1291804</v>
      </c>
      <c r="K40" s="290">
        <f>K41+K42+K52+K56</f>
        <v>-204264.46</v>
      </c>
      <c r="L40" s="294">
        <f>K40-J40</f>
        <v>-1496068.46</v>
      </c>
      <c r="M40" s="293">
        <f t="shared" si="3"/>
        <v>-0.9675607835977142</v>
      </c>
      <c r="N40" s="290">
        <f>N41+N42+N52+N56</f>
        <v>-44483064.46</v>
      </c>
      <c r="O40" s="293">
        <f t="shared" si="0"/>
        <v>-0.004613143535958517</v>
      </c>
      <c r="P40" s="325">
        <f t="shared" si="4"/>
        <v>-344870.27</v>
      </c>
      <c r="Q40" s="313" t="s">
        <v>267</v>
      </c>
    </row>
    <row r="41" spans="1:17" ht="41.25" customHeight="1" outlineLevel="1">
      <c r="A41" s="172"/>
      <c r="B41" s="324" t="s">
        <v>60</v>
      </c>
      <c r="C41" s="306" t="s">
        <v>61</v>
      </c>
      <c r="D41" s="168" t="s">
        <v>62</v>
      </c>
      <c r="E41" s="169">
        <v>33191065.25</v>
      </c>
      <c r="F41" s="290">
        <v>12.9</v>
      </c>
      <c r="G41" s="295">
        <f>F41-E41</f>
        <v>-33191052.35</v>
      </c>
      <c r="H41" s="293"/>
      <c r="I41" s="290">
        <v>31715800</v>
      </c>
      <c r="J41" s="290">
        <v>728906</v>
      </c>
      <c r="K41" s="290">
        <v>17.6</v>
      </c>
      <c r="L41" s="290">
        <f>K41-J41</f>
        <v>-728888.4</v>
      </c>
      <c r="M41" s="293">
        <f t="shared" si="3"/>
        <v>-0.9555527093734947</v>
      </c>
      <c r="N41" s="290">
        <f>K41-I41</f>
        <v>-31715782.4</v>
      </c>
      <c r="O41" s="293">
        <f t="shared" si="0"/>
        <v>5.549284583709067E-07</v>
      </c>
      <c r="P41" s="326">
        <f>K41-F41</f>
        <v>4.700000000000001</v>
      </c>
      <c r="Q41" s="314"/>
    </row>
    <row r="42" spans="1:17" ht="46.5" hidden="1" outlineLevel="2">
      <c r="A42" s="172" t="s">
        <v>63</v>
      </c>
      <c r="B42" s="324" t="s">
        <v>64</v>
      </c>
      <c r="C42" s="306" t="s">
        <v>65</v>
      </c>
      <c r="D42" s="168" t="s">
        <v>63</v>
      </c>
      <c r="E42" s="169">
        <v>108221.73</v>
      </c>
      <c r="F42" s="290">
        <v>77531.95</v>
      </c>
      <c r="G42" s="295">
        <f>F42-E42</f>
        <v>-30689.78</v>
      </c>
      <c r="H42" s="293">
        <f>F42/E42</f>
        <v>0.7164175808315021</v>
      </c>
      <c r="I42" s="290"/>
      <c r="J42" s="290"/>
      <c r="K42" s="290">
        <v>-221964.26</v>
      </c>
      <c r="L42" s="290">
        <f aca="true" t="shared" si="5" ref="L42:L56">K42-J42</f>
        <v>-221964.26</v>
      </c>
      <c r="M42" s="293">
        <f t="shared" si="3"/>
        <v>0</v>
      </c>
      <c r="N42" s="290">
        <f>K42-I42</f>
        <v>-221964.26</v>
      </c>
      <c r="O42" s="293"/>
      <c r="P42" s="326">
        <f>K42-F42</f>
        <v>-299496.21</v>
      </c>
      <c r="Q42" s="315" t="s">
        <v>263</v>
      </c>
    </row>
    <row r="43" spans="1:17" ht="45" customHeight="1" hidden="1" outlineLevel="3">
      <c r="A43" s="172" t="s">
        <v>66</v>
      </c>
      <c r="B43" s="324"/>
      <c r="C43" s="306" t="s">
        <v>23</v>
      </c>
      <c r="D43" s="168" t="s">
        <v>66</v>
      </c>
      <c r="E43" s="169"/>
      <c r="F43" s="290"/>
      <c r="G43" s="295">
        <f aca="true" t="shared" si="6" ref="G43:G56">F43-E43</f>
        <v>0</v>
      </c>
      <c r="H43" s="293" t="e">
        <f aca="true" t="shared" si="7" ref="H43:H56">F43/E43</f>
        <v>#DIV/0!</v>
      </c>
      <c r="I43" s="290">
        <v>57591300</v>
      </c>
      <c r="J43" s="290"/>
      <c r="K43" s="290"/>
      <c r="L43" s="290">
        <f t="shared" si="5"/>
        <v>0</v>
      </c>
      <c r="M43" s="293" t="e">
        <f t="shared" si="3"/>
        <v>#DIV/0!</v>
      </c>
      <c r="N43" s="290">
        <f aca="true" t="shared" si="8" ref="N43:N56">K43-I43</f>
        <v>-57591300</v>
      </c>
      <c r="O43" s="293">
        <f t="shared" si="0"/>
        <v>0</v>
      </c>
      <c r="P43" s="326">
        <f aca="true" t="shared" si="9" ref="P43:P56">K43-F43</f>
        <v>0</v>
      </c>
      <c r="Q43" s="312"/>
    </row>
    <row r="44" spans="1:17" ht="45" customHeight="1" hidden="1" outlineLevel="4">
      <c r="A44" s="172" t="s">
        <v>67</v>
      </c>
      <c r="B44" s="324"/>
      <c r="C44" s="306" t="s">
        <v>68</v>
      </c>
      <c r="D44" s="168" t="s">
        <v>67</v>
      </c>
      <c r="E44" s="169"/>
      <c r="F44" s="290"/>
      <c r="G44" s="295">
        <f t="shared" si="6"/>
        <v>0</v>
      </c>
      <c r="H44" s="293" t="e">
        <f t="shared" si="7"/>
        <v>#DIV/0!</v>
      </c>
      <c r="I44" s="290">
        <v>57591300</v>
      </c>
      <c r="J44" s="290"/>
      <c r="K44" s="290"/>
      <c r="L44" s="290">
        <f t="shared" si="5"/>
        <v>0</v>
      </c>
      <c r="M44" s="293" t="e">
        <f t="shared" si="3"/>
        <v>#DIV/0!</v>
      </c>
      <c r="N44" s="290">
        <f t="shared" si="8"/>
        <v>-57591300</v>
      </c>
      <c r="O44" s="293">
        <f t="shared" si="0"/>
        <v>0</v>
      </c>
      <c r="P44" s="326">
        <f t="shared" si="9"/>
        <v>0</v>
      </c>
      <c r="Q44" s="312"/>
    </row>
    <row r="45" spans="1:17" ht="45" customHeight="1" hidden="1" outlineLevel="5">
      <c r="A45" s="172" t="s">
        <v>67</v>
      </c>
      <c r="B45" s="324"/>
      <c r="C45" s="306" t="s">
        <v>69</v>
      </c>
      <c r="D45" s="168" t="s">
        <v>67</v>
      </c>
      <c r="E45" s="169"/>
      <c r="F45" s="290"/>
      <c r="G45" s="295">
        <f t="shared" si="6"/>
        <v>0</v>
      </c>
      <c r="H45" s="293" t="e">
        <f t="shared" si="7"/>
        <v>#DIV/0!</v>
      </c>
      <c r="I45" s="290">
        <v>57591300</v>
      </c>
      <c r="J45" s="290"/>
      <c r="K45" s="290"/>
      <c r="L45" s="290">
        <f t="shared" si="5"/>
        <v>0</v>
      </c>
      <c r="M45" s="293" t="e">
        <f t="shared" si="3"/>
        <v>#DIV/0!</v>
      </c>
      <c r="N45" s="290">
        <f t="shared" si="8"/>
        <v>-57591300</v>
      </c>
      <c r="O45" s="293">
        <f t="shared" si="0"/>
        <v>0</v>
      </c>
      <c r="P45" s="326">
        <f t="shared" si="9"/>
        <v>0</v>
      </c>
      <c r="Q45" s="312"/>
    </row>
    <row r="46" spans="1:17" ht="45" customHeight="1" hidden="1" outlineLevel="5">
      <c r="A46" s="172" t="s">
        <v>70</v>
      </c>
      <c r="B46" s="324"/>
      <c r="C46" s="306" t="s">
        <v>69</v>
      </c>
      <c r="D46" s="168" t="s">
        <v>70</v>
      </c>
      <c r="E46" s="169"/>
      <c r="F46" s="290"/>
      <c r="G46" s="295">
        <f t="shared" si="6"/>
        <v>0</v>
      </c>
      <c r="H46" s="293" t="e">
        <f t="shared" si="7"/>
        <v>#DIV/0!</v>
      </c>
      <c r="I46" s="290">
        <v>0</v>
      </c>
      <c r="J46" s="290"/>
      <c r="K46" s="290"/>
      <c r="L46" s="290">
        <f t="shared" si="5"/>
        <v>0</v>
      </c>
      <c r="M46" s="293" t="e">
        <f t="shared" si="3"/>
        <v>#DIV/0!</v>
      </c>
      <c r="N46" s="290">
        <f t="shared" si="8"/>
        <v>0</v>
      </c>
      <c r="O46" s="293" t="e">
        <f t="shared" si="0"/>
        <v>#DIV/0!</v>
      </c>
      <c r="P46" s="326">
        <f t="shared" si="9"/>
        <v>0</v>
      </c>
      <c r="Q46" s="312"/>
    </row>
    <row r="47" spans="1:17" ht="45" customHeight="1" hidden="1" outlineLevel="5">
      <c r="A47" s="172" t="s">
        <v>71</v>
      </c>
      <c r="B47" s="324"/>
      <c r="C47" s="306" t="s">
        <v>69</v>
      </c>
      <c r="D47" s="168" t="s">
        <v>71</v>
      </c>
      <c r="E47" s="169"/>
      <c r="F47" s="290"/>
      <c r="G47" s="295">
        <f t="shared" si="6"/>
        <v>0</v>
      </c>
      <c r="H47" s="293" t="e">
        <f t="shared" si="7"/>
        <v>#DIV/0!</v>
      </c>
      <c r="I47" s="290">
        <v>0</v>
      </c>
      <c r="J47" s="290"/>
      <c r="K47" s="290"/>
      <c r="L47" s="290">
        <f t="shared" si="5"/>
        <v>0</v>
      </c>
      <c r="M47" s="293" t="e">
        <f t="shared" si="3"/>
        <v>#DIV/0!</v>
      </c>
      <c r="N47" s="290">
        <f t="shared" si="8"/>
        <v>0</v>
      </c>
      <c r="O47" s="293" t="e">
        <f t="shared" si="0"/>
        <v>#DIV/0!</v>
      </c>
      <c r="P47" s="326">
        <f t="shared" si="9"/>
        <v>0</v>
      </c>
      <c r="Q47" s="312"/>
    </row>
    <row r="48" spans="1:17" ht="45" customHeight="1" hidden="1" outlineLevel="5">
      <c r="A48" s="172" t="s">
        <v>72</v>
      </c>
      <c r="B48" s="324"/>
      <c r="C48" s="306" t="s">
        <v>69</v>
      </c>
      <c r="D48" s="168" t="s">
        <v>72</v>
      </c>
      <c r="E48" s="169"/>
      <c r="F48" s="290"/>
      <c r="G48" s="295">
        <f t="shared" si="6"/>
        <v>0</v>
      </c>
      <c r="H48" s="293" t="e">
        <f t="shared" si="7"/>
        <v>#DIV/0!</v>
      </c>
      <c r="I48" s="290">
        <v>0</v>
      </c>
      <c r="J48" s="290"/>
      <c r="K48" s="290"/>
      <c r="L48" s="290">
        <f t="shared" si="5"/>
        <v>0</v>
      </c>
      <c r="M48" s="293" t="e">
        <f t="shared" si="3"/>
        <v>#DIV/0!</v>
      </c>
      <c r="N48" s="290">
        <f t="shared" si="8"/>
        <v>0</v>
      </c>
      <c r="O48" s="293" t="e">
        <f t="shared" si="0"/>
        <v>#DIV/0!</v>
      </c>
      <c r="P48" s="326">
        <f t="shared" si="9"/>
        <v>0</v>
      </c>
      <c r="Q48" s="312"/>
    </row>
    <row r="49" spans="1:17" ht="45" customHeight="1" hidden="1" outlineLevel="3">
      <c r="A49" s="172" t="s">
        <v>73</v>
      </c>
      <c r="B49" s="324"/>
      <c r="C49" s="306" t="s">
        <v>23</v>
      </c>
      <c r="D49" s="168" t="s">
        <v>73</v>
      </c>
      <c r="E49" s="169"/>
      <c r="F49" s="290"/>
      <c r="G49" s="295">
        <f t="shared" si="6"/>
        <v>0</v>
      </c>
      <c r="H49" s="293" t="e">
        <f t="shared" si="7"/>
        <v>#DIV/0!</v>
      </c>
      <c r="I49" s="290">
        <v>0</v>
      </c>
      <c r="J49" s="290"/>
      <c r="K49" s="290"/>
      <c r="L49" s="290">
        <f t="shared" si="5"/>
        <v>0</v>
      </c>
      <c r="M49" s="293" t="e">
        <f t="shared" si="3"/>
        <v>#DIV/0!</v>
      </c>
      <c r="N49" s="290">
        <f t="shared" si="8"/>
        <v>0</v>
      </c>
      <c r="O49" s="293" t="e">
        <f t="shared" si="0"/>
        <v>#DIV/0!</v>
      </c>
      <c r="P49" s="326">
        <f t="shared" si="9"/>
        <v>0</v>
      </c>
      <c r="Q49" s="312"/>
    </row>
    <row r="50" spans="1:17" ht="45" customHeight="1" hidden="1" outlineLevel="4">
      <c r="A50" s="172" t="s">
        <v>74</v>
      </c>
      <c r="B50" s="324"/>
      <c r="C50" s="306" t="s">
        <v>75</v>
      </c>
      <c r="D50" s="168" t="s">
        <v>74</v>
      </c>
      <c r="E50" s="169"/>
      <c r="F50" s="290"/>
      <c r="G50" s="295">
        <f t="shared" si="6"/>
        <v>0</v>
      </c>
      <c r="H50" s="293" t="e">
        <f t="shared" si="7"/>
        <v>#DIV/0!</v>
      </c>
      <c r="I50" s="290">
        <v>0</v>
      </c>
      <c r="J50" s="290"/>
      <c r="K50" s="290"/>
      <c r="L50" s="290">
        <f t="shared" si="5"/>
        <v>0</v>
      </c>
      <c r="M50" s="293" t="e">
        <f t="shared" si="3"/>
        <v>#DIV/0!</v>
      </c>
      <c r="N50" s="290">
        <f t="shared" si="8"/>
        <v>0</v>
      </c>
      <c r="O50" s="293" t="e">
        <f t="shared" si="0"/>
        <v>#DIV/0!</v>
      </c>
      <c r="P50" s="326">
        <f t="shared" si="9"/>
        <v>0</v>
      </c>
      <c r="Q50" s="312"/>
    </row>
    <row r="51" spans="1:17" ht="45" customHeight="1" hidden="1" outlineLevel="5">
      <c r="A51" s="172" t="s">
        <v>76</v>
      </c>
      <c r="B51" s="324"/>
      <c r="C51" s="306" t="s">
        <v>77</v>
      </c>
      <c r="D51" s="168" t="s">
        <v>76</v>
      </c>
      <c r="E51" s="169"/>
      <c r="F51" s="290"/>
      <c r="G51" s="295">
        <f t="shared" si="6"/>
        <v>0</v>
      </c>
      <c r="H51" s="293" t="e">
        <f t="shared" si="7"/>
        <v>#DIV/0!</v>
      </c>
      <c r="I51" s="290">
        <v>0</v>
      </c>
      <c r="J51" s="290"/>
      <c r="K51" s="290"/>
      <c r="L51" s="290">
        <f t="shared" si="5"/>
        <v>0</v>
      </c>
      <c r="M51" s="293" t="e">
        <f t="shared" si="3"/>
        <v>#DIV/0!</v>
      </c>
      <c r="N51" s="290">
        <f t="shared" si="8"/>
        <v>0</v>
      </c>
      <c r="O51" s="293" t="e">
        <f t="shared" si="0"/>
        <v>#DIV/0!</v>
      </c>
      <c r="P51" s="326">
        <f t="shared" si="9"/>
        <v>0</v>
      </c>
      <c r="Q51" s="312"/>
    </row>
    <row r="52" spans="1:17" ht="40.5" customHeight="1" hidden="1" outlineLevel="2" collapsed="1">
      <c r="A52" s="172" t="s">
        <v>78</v>
      </c>
      <c r="B52" s="324" t="s">
        <v>79</v>
      </c>
      <c r="C52" s="306" t="s">
        <v>80</v>
      </c>
      <c r="D52" s="168" t="s">
        <v>78</v>
      </c>
      <c r="E52" s="170">
        <v>63052.38</v>
      </c>
      <c r="F52" s="295">
        <v>63055.66</v>
      </c>
      <c r="G52" s="295">
        <f t="shared" si="6"/>
        <v>3.280000000006112</v>
      </c>
      <c r="H52" s="293">
        <f t="shared" si="7"/>
        <v>1.000052020240949</v>
      </c>
      <c r="I52" s="290">
        <v>63000</v>
      </c>
      <c r="J52" s="290"/>
      <c r="K52" s="295">
        <v>17679</v>
      </c>
      <c r="L52" s="290">
        <f t="shared" si="5"/>
        <v>17679</v>
      </c>
      <c r="M52" s="293">
        <f t="shared" si="3"/>
        <v>19207.317073134942</v>
      </c>
      <c r="N52" s="290">
        <f t="shared" si="8"/>
        <v>-45321</v>
      </c>
      <c r="O52" s="293">
        <f t="shared" si="0"/>
        <v>0.2806190476190476</v>
      </c>
      <c r="P52" s="326">
        <f t="shared" si="9"/>
        <v>-45376.66</v>
      </c>
      <c r="Q52" s="312"/>
    </row>
    <row r="53" spans="1:17" ht="45" customHeight="1" hidden="1" outlineLevel="3">
      <c r="A53" s="172" t="s">
        <v>81</v>
      </c>
      <c r="B53" s="324"/>
      <c r="C53" s="306" t="s">
        <v>23</v>
      </c>
      <c r="D53" s="168" t="s">
        <v>81</v>
      </c>
      <c r="E53" s="169"/>
      <c r="F53" s="290"/>
      <c r="G53" s="295">
        <f t="shared" si="6"/>
        <v>0</v>
      </c>
      <c r="H53" s="293" t="e">
        <f t="shared" si="7"/>
        <v>#DIV/0!</v>
      </c>
      <c r="I53" s="290"/>
      <c r="J53" s="290"/>
      <c r="K53" s="290"/>
      <c r="L53" s="290">
        <f t="shared" si="5"/>
        <v>0</v>
      </c>
      <c r="M53" s="293" t="e">
        <f t="shared" si="3"/>
        <v>#DIV/0!</v>
      </c>
      <c r="N53" s="290">
        <f t="shared" si="8"/>
        <v>0</v>
      </c>
      <c r="O53" s="293" t="e">
        <f t="shared" si="0"/>
        <v>#DIV/0!</v>
      </c>
      <c r="P53" s="326">
        <f t="shared" si="9"/>
        <v>0</v>
      </c>
      <c r="Q53" s="312"/>
    </row>
    <row r="54" spans="1:17" ht="45" customHeight="1" hidden="1" outlineLevel="4">
      <c r="A54" s="172" t="s">
        <v>82</v>
      </c>
      <c r="B54" s="324"/>
      <c r="C54" s="306" t="s">
        <v>83</v>
      </c>
      <c r="D54" s="168" t="s">
        <v>82</v>
      </c>
      <c r="E54" s="169"/>
      <c r="F54" s="290"/>
      <c r="G54" s="295">
        <f t="shared" si="6"/>
        <v>0</v>
      </c>
      <c r="H54" s="293" t="e">
        <f t="shared" si="7"/>
        <v>#DIV/0!</v>
      </c>
      <c r="I54" s="290"/>
      <c r="J54" s="290"/>
      <c r="K54" s="290"/>
      <c r="L54" s="290">
        <f t="shared" si="5"/>
        <v>0</v>
      </c>
      <c r="M54" s="293" t="e">
        <f t="shared" si="3"/>
        <v>#DIV/0!</v>
      </c>
      <c r="N54" s="290">
        <f t="shared" si="8"/>
        <v>0</v>
      </c>
      <c r="O54" s="293" t="e">
        <f t="shared" si="0"/>
        <v>#DIV/0!</v>
      </c>
      <c r="P54" s="326">
        <f t="shared" si="9"/>
        <v>0</v>
      </c>
      <c r="Q54" s="312"/>
    </row>
    <row r="55" spans="1:17" ht="26.25" customHeight="1" hidden="1" outlineLevel="5">
      <c r="A55" s="172" t="s">
        <v>82</v>
      </c>
      <c r="B55" s="324"/>
      <c r="C55" s="306" t="s">
        <v>84</v>
      </c>
      <c r="D55" s="168" t="s">
        <v>82</v>
      </c>
      <c r="E55" s="169"/>
      <c r="F55" s="290"/>
      <c r="G55" s="295">
        <f t="shared" si="6"/>
        <v>0</v>
      </c>
      <c r="H55" s="293" t="e">
        <f t="shared" si="7"/>
        <v>#DIV/0!</v>
      </c>
      <c r="I55" s="290"/>
      <c r="J55" s="290"/>
      <c r="K55" s="290"/>
      <c r="L55" s="290">
        <f t="shared" si="5"/>
        <v>0</v>
      </c>
      <c r="M55" s="293" t="e">
        <f t="shared" si="3"/>
        <v>#DIV/0!</v>
      </c>
      <c r="N55" s="290">
        <f t="shared" si="8"/>
        <v>0</v>
      </c>
      <c r="O55" s="293" t="e">
        <f t="shared" si="0"/>
        <v>#DIV/0!</v>
      </c>
      <c r="P55" s="326">
        <f t="shared" si="9"/>
        <v>0</v>
      </c>
      <c r="Q55" s="312"/>
    </row>
    <row r="56" spans="1:17" ht="35.25" customHeight="1" outlineLevel="2" collapsed="1">
      <c r="A56" s="172" t="s">
        <v>85</v>
      </c>
      <c r="B56" s="324" t="s">
        <v>86</v>
      </c>
      <c r="C56" s="306" t="s">
        <v>87</v>
      </c>
      <c r="D56" s="168" t="s">
        <v>85</v>
      </c>
      <c r="E56" s="169">
        <v>12541592.9</v>
      </c>
      <c r="F56" s="290">
        <v>5.3</v>
      </c>
      <c r="G56" s="295">
        <f t="shared" si="6"/>
        <v>-12541587.6</v>
      </c>
      <c r="H56" s="293">
        <f t="shared" si="7"/>
        <v>4.225938477081328E-07</v>
      </c>
      <c r="I56" s="290">
        <v>12500000</v>
      </c>
      <c r="J56" s="290">
        <v>562898</v>
      </c>
      <c r="K56" s="290">
        <v>3.2</v>
      </c>
      <c r="L56" s="290">
        <f t="shared" si="5"/>
        <v>-562894.8</v>
      </c>
      <c r="M56" s="293">
        <f t="shared" si="3"/>
        <v>-0.9966840242777557</v>
      </c>
      <c r="N56" s="290">
        <f t="shared" si="8"/>
        <v>-12499996.8</v>
      </c>
      <c r="O56" s="293">
        <f t="shared" si="0"/>
        <v>2.56E-07</v>
      </c>
      <c r="P56" s="326">
        <f t="shared" si="9"/>
        <v>-2.0999999999999996</v>
      </c>
      <c r="Q56" s="315"/>
    </row>
    <row r="57" spans="1:17" ht="45" customHeight="1" hidden="1" outlineLevel="3">
      <c r="A57" s="172" t="s">
        <v>88</v>
      </c>
      <c r="B57" s="324"/>
      <c r="C57" s="306" t="s">
        <v>23</v>
      </c>
      <c r="D57" s="168" t="s">
        <v>88</v>
      </c>
      <c r="E57" s="169">
        <v>401120</v>
      </c>
      <c r="F57" s="290">
        <v>401120</v>
      </c>
      <c r="G57" s="295"/>
      <c r="H57" s="293" t="e">
        <f>E57/#REF!</f>
        <v>#REF!</v>
      </c>
      <c r="I57" s="290">
        <v>8300000</v>
      </c>
      <c r="J57" s="290"/>
      <c r="K57" s="290">
        <v>401120</v>
      </c>
      <c r="L57" s="290"/>
      <c r="M57" s="293" t="e">
        <f t="shared" si="3"/>
        <v>#DIV/0!</v>
      </c>
      <c r="N57" s="290"/>
      <c r="O57" s="293">
        <f t="shared" si="0"/>
        <v>0.04832771084337349</v>
      </c>
      <c r="P57" s="326" t="e">
        <f>E57-#REF!</f>
        <v>#REF!</v>
      </c>
      <c r="Q57" s="312"/>
    </row>
    <row r="58" spans="1:17" ht="45" customHeight="1" hidden="1" outlineLevel="4">
      <c r="A58" s="172" t="s">
        <v>89</v>
      </c>
      <c r="B58" s="324"/>
      <c r="C58" s="306" t="s">
        <v>90</v>
      </c>
      <c r="D58" s="168" t="s">
        <v>89</v>
      </c>
      <c r="E58" s="169">
        <v>0</v>
      </c>
      <c r="F58" s="290">
        <v>401120</v>
      </c>
      <c r="G58" s="295"/>
      <c r="H58" s="293" t="e">
        <f>E58/#REF!</f>
        <v>#REF!</v>
      </c>
      <c r="I58" s="290">
        <v>8300000</v>
      </c>
      <c r="J58" s="290"/>
      <c r="K58" s="290">
        <v>401120</v>
      </c>
      <c r="L58" s="290"/>
      <c r="M58" s="293" t="e">
        <f t="shared" si="3"/>
        <v>#DIV/0!</v>
      </c>
      <c r="N58" s="290"/>
      <c r="O58" s="293">
        <f t="shared" si="0"/>
        <v>0.04832771084337349</v>
      </c>
      <c r="P58" s="326" t="e">
        <f>E58-#REF!</f>
        <v>#REF!</v>
      </c>
      <c r="Q58" s="312"/>
    </row>
    <row r="59" spans="1:17" ht="45" customHeight="1" hidden="1" outlineLevel="5">
      <c r="A59" s="172" t="s">
        <v>89</v>
      </c>
      <c r="B59" s="324"/>
      <c r="C59" s="306" t="s">
        <v>91</v>
      </c>
      <c r="D59" s="168" t="s">
        <v>89</v>
      </c>
      <c r="E59" s="169">
        <v>401106.8</v>
      </c>
      <c r="F59" s="290">
        <v>0</v>
      </c>
      <c r="G59" s="295"/>
      <c r="H59" s="293" t="e">
        <f>E59/#REF!</f>
        <v>#REF!</v>
      </c>
      <c r="I59" s="290">
        <v>8300000</v>
      </c>
      <c r="J59" s="290"/>
      <c r="K59" s="290">
        <v>0</v>
      </c>
      <c r="L59" s="290"/>
      <c r="M59" s="293" t="e">
        <f t="shared" si="3"/>
        <v>#DIV/0!</v>
      </c>
      <c r="N59" s="290"/>
      <c r="O59" s="293">
        <f t="shared" si="0"/>
        <v>0</v>
      </c>
      <c r="P59" s="326" t="e">
        <f>E59-#REF!</f>
        <v>#REF!</v>
      </c>
      <c r="Q59" s="312"/>
    </row>
    <row r="60" spans="1:17" ht="45" customHeight="1" hidden="1" outlineLevel="5">
      <c r="A60" s="172" t="s">
        <v>92</v>
      </c>
      <c r="B60" s="324"/>
      <c r="C60" s="306" t="s">
        <v>91</v>
      </c>
      <c r="D60" s="168" t="s">
        <v>92</v>
      </c>
      <c r="E60" s="169">
        <v>13.2</v>
      </c>
      <c r="F60" s="290">
        <v>401106.8</v>
      </c>
      <c r="G60" s="295"/>
      <c r="H60" s="293" t="e">
        <f>E60/#REF!</f>
        <v>#REF!</v>
      </c>
      <c r="I60" s="290">
        <v>0</v>
      </c>
      <c r="J60" s="290"/>
      <c r="K60" s="290">
        <v>401106.8</v>
      </c>
      <c r="L60" s="290"/>
      <c r="M60" s="293" t="e">
        <f t="shared" si="3"/>
        <v>#DIV/0!</v>
      </c>
      <c r="N60" s="290"/>
      <c r="O60" s="293" t="e">
        <f t="shared" si="0"/>
        <v>#DIV/0!</v>
      </c>
      <c r="P60" s="326" t="e">
        <f>E60-#REF!</f>
        <v>#REF!</v>
      </c>
      <c r="Q60" s="312"/>
    </row>
    <row r="61" spans="1:17" ht="45" customHeight="1" hidden="1" outlineLevel="5">
      <c r="A61" s="172" t="s">
        <v>93</v>
      </c>
      <c r="B61" s="324"/>
      <c r="C61" s="306" t="s">
        <v>91</v>
      </c>
      <c r="D61" s="168" t="s">
        <v>93</v>
      </c>
      <c r="E61" s="169">
        <f>E62+E63+E64</f>
        <v>172244710.82</v>
      </c>
      <c r="F61" s="290">
        <v>13.2</v>
      </c>
      <c r="G61" s="295"/>
      <c r="H61" s="293" t="e">
        <f>E61/#REF!</f>
        <v>#REF!</v>
      </c>
      <c r="I61" s="290">
        <v>0</v>
      </c>
      <c r="J61" s="290"/>
      <c r="K61" s="290">
        <v>13.2</v>
      </c>
      <c r="L61" s="290"/>
      <c r="M61" s="293" t="e">
        <f t="shared" si="3"/>
        <v>#DIV/0!</v>
      </c>
      <c r="N61" s="290"/>
      <c r="O61" s="293" t="e">
        <f t="shared" si="0"/>
        <v>#DIV/0!</v>
      </c>
      <c r="P61" s="326" t="e">
        <f>E61-#REF!</f>
        <v>#REF!</v>
      </c>
      <c r="Q61" s="312"/>
    </row>
    <row r="62" spans="1:17" ht="37.5" customHeight="1" outlineLevel="1" collapsed="1">
      <c r="A62" s="172" t="s">
        <v>94</v>
      </c>
      <c r="B62" s="324" t="s">
        <v>95</v>
      </c>
      <c r="C62" s="306" t="s">
        <v>96</v>
      </c>
      <c r="D62" s="168" t="s">
        <v>94</v>
      </c>
      <c r="E62" s="169">
        <f>E63+E64+E65</f>
        <v>95317580.9</v>
      </c>
      <c r="F62" s="290">
        <v>30</v>
      </c>
      <c r="G62" s="295">
        <f>F62-E62</f>
        <v>-95317550.9</v>
      </c>
      <c r="H62" s="293">
        <f aca="true" t="shared" si="10" ref="H62:H72">F62/E62</f>
        <v>3.147373204054951E-07</v>
      </c>
      <c r="I62" s="290">
        <f>I63+I64+I65</f>
        <v>75916097.63</v>
      </c>
      <c r="J62" s="290">
        <f>J63+J64+J65</f>
        <v>3543302</v>
      </c>
      <c r="K62" s="290">
        <v>15.6</v>
      </c>
      <c r="L62" s="290">
        <f>K62-J62</f>
        <v>-3543286.4</v>
      </c>
      <c r="M62" s="293">
        <f t="shared" si="3"/>
        <v>-0.7964545554642444</v>
      </c>
      <c r="N62" s="290">
        <f>N63+N64+N65</f>
        <v>-72613158.02000001</v>
      </c>
      <c r="O62" s="293">
        <f t="shared" si="0"/>
        <v>2.0549001446348448E-07</v>
      </c>
      <c r="P62" s="326">
        <f aca="true" t="shared" si="11" ref="P62:P72">K62-F62</f>
        <v>-14.4</v>
      </c>
      <c r="Q62" s="313" t="s">
        <v>267</v>
      </c>
    </row>
    <row r="63" spans="1:17" ht="30" hidden="1" outlineLevel="2">
      <c r="A63" s="172" t="s">
        <v>97</v>
      </c>
      <c r="B63" s="324" t="s">
        <v>98</v>
      </c>
      <c r="C63" s="306" t="s">
        <v>99</v>
      </c>
      <c r="D63" s="168" t="s">
        <v>97</v>
      </c>
      <c r="E63" s="169">
        <v>14947482.35</v>
      </c>
      <c r="F63" s="290">
        <v>1282769.72</v>
      </c>
      <c r="G63" s="295">
        <f>F63-E63</f>
        <v>-13664712.629999999</v>
      </c>
      <c r="H63" s="293">
        <f t="shared" si="10"/>
        <v>0.08581844687710904</v>
      </c>
      <c r="I63" s="290">
        <v>11900000</v>
      </c>
      <c r="J63" s="290">
        <v>80000</v>
      </c>
      <c r="K63" s="290">
        <f>1402793.66+1400+26906.16+2710.46</f>
        <v>1433810.2799999998</v>
      </c>
      <c r="L63" s="290">
        <f>K63-J63</f>
        <v>1353810.2799999998</v>
      </c>
      <c r="M63" s="293">
        <f t="shared" si="3"/>
        <v>-0.8708562208527031</v>
      </c>
      <c r="N63" s="290">
        <f>K63-I63</f>
        <v>-10466189.72</v>
      </c>
      <c r="O63" s="293">
        <f t="shared" si="0"/>
        <v>0.1204882588235294</v>
      </c>
      <c r="P63" s="326">
        <f t="shared" si="11"/>
        <v>151040.55999999982</v>
      </c>
      <c r="Q63" s="315"/>
    </row>
    <row r="64" spans="1:17" s="272" customFormat="1" ht="42" customHeight="1" outlineLevel="4">
      <c r="A64" s="269" t="s">
        <v>100</v>
      </c>
      <c r="B64" s="327"/>
      <c r="C64" s="307" t="s">
        <v>276</v>
      </c>
      <c r="D64" s="270" t="s">
        <v>100</v>
      </c>
      <c r="E64" s="271">
        <v>61979647.57</v>
      </c>
      <c r="F64" s="296">
        <v>27.7</v>
      </c>
      <c r="G64" s="297">
        <f>F64-E64</f>
        <v>-61979619.87</v>
      </c>
      <c r="H64" s="298">
        <f t="shared" si="10"/>
        <v>4.469209020382947E-07</v>
      </c>
      <c r="I64" s="296">
        <v>47016097.63</v>
      </c>
      <c r="J64" s="296">
        <v>3011857</v>
      </c>
      <c r="K64" s="296">
        <v>12.3</v>
      </c>
      <c r="L64" s="296">
        <f>K64-J64</f>
        <v>-3011844.7</v>
      </c>
      <c r="M64" s="298">
        <f t="shared" si="3"/>
        <v>-0.7585735073660432</v>
      </c>
      <c r="N64" s="296">
        <f>K64-I64</f>
        <v>-47016085.330000006</v>
      </c>
      <c r="O64" s="298">
        <f t="shared" si="0"/>
        <v>2.61612524646274E-07</v>
      </c>
      <c r="P64" s="328">
        <f t="shared" si="11"/>
        <v>-15.399999999999999</v>
      </c>
      <c r="Q64" s="316"/>
    </row>
    <row r="65" spans="1:17" ht="56.25" customHeight="1" hidden="1" outlineLevel="4">
      <c r="A65" s="172" t="s">
        <v>103</v>
      </c>
      <c r="B65" s="324" t="s">
        <v>104</v>
      </c>
      <c r="C65" s="306" t="s">
        <v>105</v>
      </c>
      <c r="D65" s="168" t="s">
        <v>103</v>
      </c>
      <c r="E65" s="169">
        <v>18390450.98</v>
      </c>
      <c r="F65" s="290">
        <v>1056495.99</v>
      </c>
      <c r="G65" s="295">
        <f>F65-E65</f>
        <v>-17333954.990000002</v>
      </c>
      <c r="H65" s="293">
        <f t="shared" si="10"/>
        <v>0.05744807406566383</v>
      </c>
      <c r="I65" s="290">
        <v>17000000</v>
      </c>
      <c r="J65" s="290">
        <v>451445</v>
      </c>
      <c r="K65" s="290">
        <f>1834144.92+462+31169.11+3341</f>
        <v>1869117.03</v>
      </c>
      <c r="L65" s="290">
        <f>K65-J65</f>
        <v>1417672.03</v>
      </c>
      <c r="M65" s="293">
        <f t="shared" si="3"/>
        <v>-0.9807340569308816</v>
      </c>
      <c r="N65" s="290">
        <f>K65-I65</f>
        <v>-15130882.97</v>
      </c>
      <c r="O65" s="293">
        <f t="shared" si="0"/>
        <v>0.1099480605882353</v>
      </c>
      <c r="P65" s="326">
        <f t="shared" si="11"/>
        <v>812621.04</v>
      </c>
      <c r="Q65" s="315"/>
    </row>
    <row r="66" spans="1:17" ht="38.25" customHeight="1" outlineLevel="1" collapsed="1" thickBot="1">
      <c r="A66" s="172" t="s">
        <v>106</v>
      </c>
      <c r="B66" s="324" t="s">
        <v>107</v>
      </c>
      <c r="C66" s="306" t="s">
        <v>108</v>
      </c>
      <c r="D66" s="168" t="s">
        <v>106</v>
      </c>
      <c r="E66" s="169">
        <f>E67+E72</f>
        <v>10536108.33</v>
      </c>
      <c r="F66" s="290">
        <v>3.5</v>
      </c>
      <c r="G66" s="295">
        <f>G67+G72</f>
        <v>-7015250.970000001</v>
      </c>
      <c r="H66" s="293">
        <f t="shared" si="10"/>
        <v>3.321909656181373E-07</v>
      </c>
      <c r="I66" s="290">
        <f>I67+I72</f>
        <v>11535000</v>
      </c>
      <c r="J66" s="290">
        <f>J67+J72</f>
        <v>605206</v>
      </c>
      <c r="K66" s="290">
        <v>3.3</v>
      </c>
      <c r="L66" s="290">
        <f>K66-J66</f>
        <v>-605202.7</v>
      </c>
      <c r="M66" s="293">
        <f t="shared" si="3"/>
        <v>-1.644274745027404</v>
      </c>
      <c r="N66" s="290">
        <f>N67+N72</f>
        <v>-8272288.6899999995</v>
      </c>
      <c r="O66" s="293">
        <f t="shared" si="0"/>
        <v>2.860858257477243E-07</v>
      </c>
      <c r="P66" s="326">
        <f t="shared" si="11"/>
        <v>-0.20000000000000018</v>
      </c>
      <c r="Q66" s="312"/>
    </row>
    <row r="67" spans="1:17" ht="91.5" customHeight="1" hidden="1" outlineLevel="2">
      <c r="A67" s="172" t="s">
        <v>109</v>
      </c>
      <c r="B67" s="324" t="s">
        <v>110</v>
      </c>
      <c r="C67" s="306" t="s">
        <v>111</v>
      </c>
      <c r="D67" s="168" t="s">
        <v>109</v>
      </c>
      <c r="E67" s="169">
        <v>10431108.33</v>
      </c>
      <c r="F67" s="250">
        <v>3490857.36</v>
      </c>
      <c r="G67" s="252">
        <f aca="true" t="shared" si="12" ref="G67:G72">F67-E67</f>
        <v>-6940250.970000001</v>
      </c>
      <c r="H67" s="251">
        <f t="shared" si="10"/>
        <v>0.3346583363495756</v>
      </c>
      <c r="I67" s="250">
        <v>11500000</v>
      </c>
      <c r="J67" s="250">
        <v>605206</v>
      </c>
      <c r="K67" s="250">
        <f>3160101.37+24585.7+44853.75+33170.49</f>
        <v>3262711.3100000005</v>
      </c>
      <c r="L67" s="250">
        <f>K67-J67</f>
        <v>2657505.3100000005</v>
      </c>
      <c r="M67" s="251">
        <f t="shared" si="3"/>
        <v>-1.6570005969106905</v>
      </c>
      <c r="N67" s="250">
        <f aca="true" t="shared" si="13" ref="N67:N72">K67-I67</f>
        <v>-8237288.6899999995</v>
      </c>
      <c r="O67" s="251">
        <f t="shared" si="0"/>
        <v>0.28371402695652176</v>
      </c>
      <c r="P67" s="329">
        <f t="shared" si="11"/>
        <v>-228146.04999999935</v>
      </c>
      <c r="Q67" s="312"/>
    </row>
    <row r="68" spans="1:17" ht="45" customHeight="1" hidden="1" outlineLevel="3">
      <c r="A68" s="172" t="s">
        <v>112</v>
      </c>
      <c r="B68" s="324"/>
      <c r="C68" s="306" t="s">
        <v>23</v>
      </c>
      <c r="D68" s="168" t="s">
        <v>112</v>
      </c>
      <c r="E68" s="169"/>
      <c r="F68" s="250"/>
      <c r="G68" s="252">
        <f t="shared" si="12"/>
        <v>0</v>
      </c>
      <c r="H68" s="251" t="e">
        <f t="shared" si="10"/>
        <v>#DIV/0!</v>
      </c>
      <c r="I68" s="250"/>
      <c r="J68" s="250"/>
      <c r="K68" s="250"/>
      <c r="L68" s="250">
        <f>I68-G68</f>
        <v>0</v>
      </c>
      <c r="M68" s="251" t="e">
        <f t="shared" si="3"/>
        <v>#DIV/0!</v>
      </c>
      <c r="N68" s="250">
        <f t="shared" si="13"/>
        <v>0</v>
      </c>
      <c r="O68" s="251" t="e">
        <f t="shared" si="0"/>
        <v>#DIV/0!</v>
      </c>
      <c r="P68" s="329">
        <f t="shared" si="11"/>
        <v>0</v>
      </c>
      <c r="Q68" s="312"/>
    </row>
    <row r="69" spans="1:17" ht="45" customHeight="1" hidden="1" outlineLevel="4">
      <c r="A69" s="172" t="s">
        <v>113</v>
      </c>
      <c r="B69" s="324"/>
      <c r="C69" s="306" t="s">
        <v>114</v>
      </c>
      <c r="D69" s="168" t="s">
        <v>113</v>
      </c>
      <c r="E69" s="169"/>
      <c r="F69" s="250"/>
      <c r="G69" s="252">
        <f t="shared" si="12"/>
        <v>0</v>
      </c>
      <c r="H69" s="251" t="e">
        <f t="shared" si="10"/>
        <v>#DIV/0!</v>
      </c>
      <c r="I69" s="250"/>
      <c r="J69" s="250"/>
      <c r="K69" s="250"/>
      <c r="L69" s="250">
        <f>I69-G69</f>
        <v>0</v>
      </c>
      <c r="M69" s="251" t="e">
        <f t="shared" si="3"/>
        <v>#DIV/0!</v>
      </c>
      <c r="N69" s="250">
        <f t="shared" si="13"/>
        <v>0</v>
      </c>
      <c r="O69" s="251" t="e">
        <f t="shared" si="0"/>
        <v>#DIV/0!</v>
      </c>
      <c r="P69" s="329">
        <f t="shared" si="11"/>
        <v>0</v>
      </c>
      <c r="Q69" s="312"/>
    </row>
    <row r="70" spans="1:17" ht="45" customHeight="1" hidden="1" outlineLevel="5">
      <c r="A70" s="172" t="s">
        <v>113</v>
      </c>
      <c r="B70" s="324"/>
      <c r="C70" s="306" t="s">
        <v>115</v>
      </c>
      <c r="D70" s="168" t="s">
        <v>113</v>
      </c>
      <c r="E70" s="169"/>
      <c r="F70" s="250"/>
      <c r="G70" s="252">
        <f t="shared" si="12"/>
        <v>0</v>
      </c>
      <c r="H70" s="251" t="e">
        <f t="shared" si="10"/>
        <v>#DIV/0!</v>
      </c>
      <c r="I70" s="250"/>
      <c r="J70" s="250"/>
      <c r="K70" s="250"/>
      <c r="L70" s="250">
        <f>I70-G70</f>
        <v>0</v>
      </c>
      <c r="M70" s="251" t="e">
        <f t="shared" si="3"/>
        <v>#DIV/0!</v>
      </c>
      <c r="N70" s="250">
        <f t="shared" si="13"/>
        <v>0</v>
      </c>
      <c r="O70" s="251" t="e">
        <f t="shared" si="0"/>
        <v>#DIV/0!</v>
      </c>
      <c r="P70" s="329">
        <f t="shared" si="11"/>
        <v>0</v>
      </c>
      <c r="Q70" s="312"/>
    </row>
    <row r="71" spans="1:17" ht="45" customHeight="1" hidden="1" outlineLevel="5">
      <c r="A71" s="172" t="s">
        <v>116</v>
      </c>
      <c r="B71" s="324"/>
      <c r="C71" s="306" t="s">
        <v>117</v>
      </c>
      <c r="D71" s="168" t="s">
        <v>116</v>
      </c>
      <c r="E71" s="169"/>
      <c r="F71" s="250"/>
      <c r="G71" s="252">
        <f t="shared" si="12"/>
        <v>0</v>
      </c>
      <c r="H71" s="251" t="e">
        <f t="shared" si="10"/>
        <v>#DIV/0!</v>
      </c>
      <c r="I71" s="250"/>
      <c r="J71" s="250"/>
      <c r="K71" s="250"/>
      <c r="L71" s="250">
        <f>I71-G71</f>
        <v>0</v>
      </c>
      <c r="M71" s="251" t="e">
        <f t="shared" si="3"/>
        <v>#DIV/0!</v>
      </c>
      <c r="N71" s="250">
        <f t="shared" si="13"/>
        <v>0</v>
      </c>
      <c r="O71" s="251" t="e">
        <f t="shared" si="0"/>
        <v>#DIV/0!</v>
      </c>
      <c r="P71" s="329">
        <f t="shared" si="11"/>
        <v>0</v>
      </c>
      <c r="Q71" s="312"/>
    </row>
    <row r="72" spans="1:17" ht="78.75" customHeight="1" hidden="1" outlineLevel="2" collapsed="1">
      <c r="A72" s="172" t="s">
        <v>118</v>
      </c>
      <c r="B72" s="324" t="s">
        <v>119</v>
      </c>
      <c r="C72" s="306" t="s">
        <v>120</v>
      </c>
      <c r="D72" s="168" t="s">
        <v>118</v>
      </c>
      <c r="E72" s="170">
        <v>105000</v>
      </c>
      <c r="F72" s="252">
        <v>30000</v>
      </c>
      <c r="G72" s="252">
        <f t="shared" si="12"/>
        <v>-75000</v>
      </c>
      <c r="H72" s="251">
        <f t="shared" si="10"/>
        <v>0.2857142857142857</v>
      </c>
      <c r="I72" s="250">
        <v>35000</v>
      </c>
      <c r="J72" s="250"/>
      <c r="K72" s="252"/>
      <c r="L72" s="250">
        <f>K72-J72</f>
        <v>0</v>
      </c>
      <c r="M72" s="251">
        <f t="shared" si="3"/>
        <v>-0.4666666666666667</v>
      </c>
      <c r="N72" s="250">
        <f t="shared" si="13"/>
        <v>-35000</v>
      </c>
      <c r="O72" s="251">
        <f t="shared" si="0"/>
        <v>0</v>
      </c>
      <c r="P72" s="329">
        <f t="shared" si="11"/>
        <v>-30000</v>
      </c>
      <c r="Q72" s="315"/>
    </row>
    <row r="73" spans="1:17" ht="45" customHeight="1" hidden="1" outlineLevel="3">
      <c r="A73" s="172" t="s">
        <v>121</v>
      </c>
      <c r="B73" s="324"/>
      <c r="C73" s="306" t="s">
        <v>23</v>
      </c>
      <c r="D73" s="168" t="s">
        <v>121</v>
      </c>
      <c r="E73" s="169">
        <v>0</v>
      </c>
      <c r="F73" s="250">
        <v>0</v>
      </c>
      <c r="G73" s="252"/>
      <c r="H73" s="251" t="e">
        <f>E73/#REF!</f>
        <v>#REF!</v>
      </c>
      <c r="I73" s="250">
        <v>60000</v>
      </c>
      <c r="J73" s="250"/>
      <c r="K73" s="250">
        <v>0</v>
      </c>
      <c r="L73" s="250"/>
      <c r="M73" s="251" t="e">
        <f t="shared" si="3"/>
        <v>#DIV/0!</v>
      </c>
      <c r="N73" s="250"/>
      <c r="O73" s="251">
        <f t="shared" si="0"/>
        <v>0</v>
      </c>
      <c r="P73" s="329" t="e">
        <f>E73-#REF!</f>
        <v>#REF!</v>
      </c>
      <c r="Q73" s="312"/>
    </row>
    <row r="74" spans="1:17" ht="45" customHeight="1" hidden="1" outlineLevel="4">
      <c r="A74" s="172" t="s">
        <v>122</v>
      </c>
      <c r="B74" s="324"/>
      <c r="C74" s="306" t="s">
        <v>123</v>
      </c>
      <c r="D74" s="168" t="s">
        <v>122</v>
      </c>
      <c r="E74" s="169">
        <v>0</v>
      </c>
      <c r="F74" s="250">
        <v>0</v>
      </c>
      <c r="G74" s="252"/>
      <c r="H74" s="251" t="e">
        <f>E74/#REF!</f>
        <v>#REF!</v>
      </c>
      <c r="I74" s="250">
        <v>60000</v>
      </c>
      <c r="J74" s="250"/>
      <c r="K74" s="250">
        <v>0</v>
      </c>
      <c r="L74" s="250"/>
      <c r="M74" s="251" t="e">
        <f t="shared" si="3"/>
        <v>#DIV/0!</v>
      </c>
      <c r="N74" s="250"/>
      <c r="O74" s="251">
        <f t="shared" si="0"/>
        <v>0</v>
      </c>
      <c r="P74" s="329" t="e">
        <f>E74-#REF!</f>
        <v>#REF!</v>
      </c>
      <c r="Q74" s="312"/>
    </row>
    <row r="75" spans="1:17" ht="45" customHeight="1" hidden="1" outlineLevel="5">
      <c r="A75" s="172" t="s">
        <v>122</v>
      </c>
      <c r="B75" s="324"/>
      <c r="C75" s="306" t="s">
        <v>124</v>
      </c>
      <c r="D75" s="168" t="s">
        <v>122</v>
      </c>
      <c r="E75" s="169">
        <v>-23389.69</v>
      </c>
      <c r="F75" s="250">
        <v>0</v>
      </c>
      <c r="G75" s="252"/>
      <c r="H75" s="251" t="e">
        <f>E75/#REF!</f>
        <v>#REF!</v>
      </c>
      <c r="I75" s="250">
        <v>60000</v>
      </c>
      <c r="J75" s="250"/>
      <c r="K75" s="250">
        <v>0</v>
      </c>
      <c r="L75" s="250"/>
      <c r="M75" s="251" t="e">
        <f t="shared" si="3"/>
        <v>#DIV/0!</v>
      </c>
      <c r="N75" s="250"/>
      <c r="O75" s="251">
        <f t="shared" si="0"/>
        <v>0</v>
      </c>
      <c r="P75" s="329" t="e">
        <f>E75-#REF!</f>
        <v>#REF!</v>
      </c>
      <c r="Q75" s="312"/>
    </row>
    <row r="76" spans="1:17" ht="83.25" customHeight="1" hidden="1" outlineLevel="1" collapsed="1">
      <c r="A76" s="172" t="s">
        <v>125</v>
      </c>
      <c r="B76" s="324" t="s">
        <v>126</v>
      </c>
      <c r="C76" s="306" t="s">
        <v>127</v>
      </c>
      <c r="D76" s="168" t="s">
        <v>125</v>
      </c>
      <c r="E76" s="169">
        <v>-23389.69</v>
      </c>
      <c r="F76" s="250">
        <v>3014.2</v>
      </c>
      <c r="G76" s="252">
        <f>F76-E76</f>
        <v>26403.89</v>
      </c>
      <c r="H76" s="251">
        <f>F76/E76</f>
        <v>-0.12886874516079522</v>
      </c>
      <c r="I76" s="250"/>
      <c r="J76" s="250"/>
      <c r="K76" s="250">
        <v>942.29</v>
      </c>
      <c r="L76" s="250">
        <f>K76-J76</f>
        <v>942.29</v>
      </c>
      <c r="M76" s="251"/>
      <c r="N76" s="250"/>
      <c r="O76" s="251"/>
      <c r="P76" s="329">
        <f>K76-F76</f>
        <v>-2071.91</v>
      </c>
      <c r="Q76" s="312"/>
    </row>
    <row r="77" spans="1:17" ht="45" customHeight="1" hidden="1" outlineLevel="3">
      <c r="A77" s="172" t="s">
        <v>128</v>
      </c>
      <c r="B77" s="324"/>
      <c r="C77" s="306" t="s">
        <v>23</v>
      </c>
      <c r="D77" s="168" t="s">
        <v>128</v>
      </c>
      <c r="E77" s="169">
        <v>78.92</v>
      </c>
      <c r="F77" s="250">
        <v>78.92</v>
      </c>
      <c r="G77" s="252"/>
      <c r="H77" s="251" t="e">
        <f>E77/#REF!</f>
        <v>#REF!</v>
      </c>
      <c r="I77" s="250">
        <v>0</v>
      </c>
      <c r="J77" s="250"/>
      <c r="K77" s="250">
        <v>78.92</v>
      </c>
      <c r="L77" s="250"/>
      <c r="M77" s="251" t="e">
        <f>I77/G77</f>
        <v>#DIV/0!</v>
      </c>
      <c r="N77" s="250"/>
      <c r="O77" s="251" t="e">
        <f t="shared" si="0"/>
        <v>#DIV/0!</v>
      </c>
      <c r="P77" s="329" t="e">
        <f>E77-#REF!</f>
        <v>#REF!</v>
      </c>
      <c r="Q77" s="312"/>
    </row>
    <row r="78" spans="1:17" ht="45" customHeight="1" hidden="1" outlineLevel="4">
      <c r="A78" s="172" t="s">
        <v>129</v>
      </c>
      <c r="B78" s="324"/>
      <c r="C78" s="306" t="s">
        <v>130</v>
      </c>
      <c r="D78" s="168" t="s">
        <v>129</v>
      </c>
      <c r="E78" s="169">
        <v>78.92</v>
      </c>
      <c r="F78" s="250">
        <v>78.92</v>
      </c>
      <c r="G78" s="252"/>
      <c r="H78" s="251" t="e">
        <f>E78/#REF!</f>
        <v>#REF!</v>
      </c>
      <c r="I78" s="250">
        <v>0</v>
      </c>
      <c r="J78" s="250"/>
      <c r="K78" s="250">
        <v>78.92</v>
      </c>
      <c r="L78" s="250"/>
      <c r="M78" s="251" t="e">
        <f>I78/G78</f>
        <v>#DIV/0!</v>
      </c>
      <c r="N78" s="250"/>
      <c r="O78" s="251" t="e">
        <f t="shared" si="0"/>
        <v>#DIV/0!</v>
      </c>
      <c r="P78" s="329" t="e">
        <f>E78-#REF!</f>
        <v>#REF!</v>
      </c>
      <c r="Q78" s="312"/>
    </row>
    <row r="79" spans="1:17" ht="45" customHeight="1" hidden="1" outlineLevel="5">
      <c r="A79" s="172" t="s">
        <v>131</v>
      </c>
      <c r="B79" s="330"/>
      <c r="C79" s="308" t="s">
        <v>132</v>
      </c>
      <c r="D79" s="180" t="s">
        <v>131</v>
      </c>
      <c r="E79" s="181">
        <f>E80+E89+E105+E108+E111+E112</f>
        <v>106887173.90000002</v>
      </c>
      <c r="F79" s="256">
        <v>78.92</v>
      </c>
      <c r="G79" s="257"/>
      <c r="H79" s="258" t="e">
        <f>E79/#REF!</f>
        <v>#REF!</v>
      </c>
      <c r="I79" s="256">
        <v>0</v>
      </c>
      <c r="J79" s="256"/>
      <c r="K79" s="256">
        <v>78.92</v>
      </c>
      <c r="L79" s="256"/>
      <c r="M79" s="258" t="e">
        <f>I79/G79</f>
        <v>#DIV/0!</v>
      </c>
      <c r="N79" s="256"/>
      <c r="O79" s="258" t="e">
        <f>K79/I79</f>
        <v>#DIV/0!</v>
      </c>
      <c r="P79" s="331" t="e">
        <f>E79-#REF!</f>
        <v>#REF!</v>
      </c>
      <c r="Q79" s="312"/>
    </row>
    <row r="80" spans="1:17" s="254" customFormat="1" ht="39" customHeight="1" outlineLevel="5" thickBot="1">
      <c r="A80" s="253"/>
      <c r="B80" s="301" t="s">
        <v>133</v>
      </c>
      <c r="C80" s="302" t="s">
        <v>279</v>
      </c>
      <c r="D80" s="260"/>
      <c r="E80" s="261">
        <f>E81+E90+E106+E109+E112+E113</f>
        <v>73494552.89</v>
      </c>
      <c r="F80" s="262">
        <v>22</v>
      </c>
      <c r="G80" s="262">
        <f>G81+G90+G106+G109+G112+G113</f>
        <v>-52023864.75</v>
      </c>
      <c r="H80" s="262">
        <f>F80/E80</f>
        <v>2.993419122220882E-07</v>
      </c>
      <c r="I80" s="262">
        <f>I81+I90+I106+I109+I112+I113</f>
        <v>61350184.11</v>
      </c>
      <c r="J80" s="262">
        <f>J81+J90+J106+J109+J112+J113</f>
        <v>2230316.48</v>
      </c>
      <c r="K80" s="262">
        <f>47.8-23.3</f>
        <v>24.499999999999996</v>
      </c>
      <c r="L80" s="262">
        <f>K80-J80</f>
        <v>-2230291.98</v>
      </c>
      <c r="M80" s="262" t="e">
        <f>M81+M90+M106+M109+M112+M113</f>
        <v>#DIV/0!</v>
      </c>
      <c r="N80" s="262">
        <f>N81+N90+N106+N109+N112+N113</f>
        <v>-37852407.91</v>
      </c>
      <c r="O80" s="263">
        <f aca="true" t="shared" si="14" ref="O80:O127">K80/I80</f>
        <v>3.993468048290099E-07</v>
      </c>
      <c r="P80" s="264">
        <f>K80-F80</f>
        <v>2.4999999999999964</v>
      </c>
      <c r="Q80" s="255"/>
    </row>
    <row r="81" spans="1:17" ht="61.5" customHeight="1" outlineLevel="1">
      <c r="A81" s="172" t="s">
        <v>135</v>
      </c>
      <c r="B81" s="321" t="s">
        <v>136</v>
      </c>
      <c r="C81" s="305" t="s">
        <v>282</v>
      </c>
      <c r="D81" s="192" t="s">
        <v>135</v>
      </c>
      <c r="E81" s="193">
        <f>E82+E83+E84+E85+E89</f>
        <v>37416244.75</v>
      </c>
      <c r="F81" s="248">
        <v>10</v>
      </c>
      <c r="G81" s="259">
        <f>G82+G83+G85+G89</f>
        <v>-27350627.259999998</v>
      </c>
      <c r="H81" s="249">
        <f>F81/E81</f>
        <v>2.6726359277409847E-07</v>
      </c>
      <c r="I81" s="248">
        <f>I82+I83+I84+I85+I89</f>
        <v>26290475.19</v>
      </c>
      <c r="J81" s="248">
        <f>J82+J83+J84+J85+J89</f>
        <v>859800</v>
      </c>
      <c r="K81" s="248">
        <v>8.7</v>
      </c>
      <c r="L81" s="248">
        <f>K81-J81</f>
        <v>-859791.3</v>
      </c>
      <c r="M81" s="249">
        <f>I81/G81</f>
        <v>-0.9612384732561341</v>
      </c>
      <c r="N81" s="248">
        <f>N82+N83+N84+N85+N89</f>
        <v>-17627526.57</v>
      </c>
      <c r="O81" s="249">
        <f t="shared" si="14"/>
        <v>3.309183244930157E-07</v>
      </c>
      <c r="P81" s="332">
        <f>K81-F81</f>
        <v>-1.3000000000000007</v>
      </c>
      <c r="Q81" s="312"/>
    </row>
    <row r="82" spans="1:17" ht="47.25" customHeight="1" hidden="1" outlineLevel="4">
      <c r="A82" s="172" t="s">
        <v>138</v>
      </c>
      <c r="B82" s="324" t="s">
        <v>139</v>
      </c>
      <c r="C82" s="306" t="s">
        <v>140</v>
      </c>
      <c r="D82" s="168" t="s">
        <v>138</v>
      </c>
      <c r="E82" s="169">
        <v>24363527.29</v>
      </c>
      <c r="F82" s="250">
        <v>4787239.41</v>
      </c>
      <c r="G82" s="252">
        <f>F82-E82</f>
        <v>-19576287.88</v>
      </c>
      <c r="H82" s="251">
        <f>F82/E82</f>
        <v>0.19649204948927576</v>
      </c>
      <c r="I82" s="250">
        <v>15000000</v>
      </c>
      <c r="J82" s="250">
        <v>350000</v>
      </c>
      <c r="K82" s="250">
        <f>4116186.7+264361.92+6513.27</f>
        <v>4387061.89</v>
      </c>
      <c r="L82" s="250">
        <f>K82-J82</f>
        <v>4037061.8899999997</v>
      </c>
      <c r="M82" s="251">
        <f>I82/G82</f>
        <v>-0.7662331128326256</v>
      </c>
      <c r="N82" s="250">
        <f>K82-I82</f>
        <v>-10612938.11</v>
      </c>
      <c r="O82" s="251">
        <f t="shared" si="14"/>
        <v>0.29247079266666665</v>
      </c>
      <c r="P82" s="329">
        <f>K82-F82</f>
        <v>-400177.5200000005</v>
      </c>
      <c r="Q82" s="315" t="s">
        <v>268</v>
      </c>
    </row>
    <row r="83" spans="1:17" ht="47.25" customHeight="1" hidden="1" outlineLevel="4">
      <c r="A83" s="172" t="s">
        <v>141</v>
      </c>
      <c r="B83" s="324" t="s">
        <v>142</v>
      </c>
      <c r="C83" s="306" t="s">
        <v>143</v>
      </c>
      <c r="D83" s="168" t="s">
        <v>141</v>
      </c>
      <c r="E83" s="169">
        <v>977974.72</v>
      </c>
      <c r="F83" s="250">
        <v>316570.81</v>
      </c>
      <c r="G83" s="252">
        <f aca="true" t="shared" si="15" ref="G83:G89">F83-E83</f>
        <v>-661403.9099999999</v>
      </c>
      <c r="H83" s="251">
        <f aca="true" t="shared" si="16" ref="H83:H89">F83/E83</f>
        <v>0.323700401989941</v>
      </c>
      <c r="I83" s="250">
        <v>987235.05</v>
      </c>
      <c r="J83" s="250">
        <v>109800</v>
      </c>
      <c r="K83" s="250">
        <v>361646.44</v>
      </c>
      <c r="L83" s="250">
        <f aca="true" t="shared" si="17" ref="L83:L89">K83-J83</f>
        <v>251846.44</v>
      </c>
      <c r="M83" s="251">
        <f>I83/G83</f>
        <v>-1.4926356422658587</v>
      </c>
      <c r="N83" s="250">
        <f aca="true" t="shared" si="18" ref="N83:N89">K83-I83</f>
        <v>-625588.6100000001</v>
      </c>
      <c r="O83" s="251">
        <f t="shared" si="14"/>
        <v>0.36632252876354016</v>
      </c>
      <c r="P83" s="329">
        <f aca="true" t="shared" si="19" ref="P83:P89">K83-F83</f>
        <v>45075.630000000005</v>
      </c>
      <c r="Q83" s="315"/>
    </row>
    <row r="84" spans="1:17" ht="47.25" customHeight="1" hidden="1" outlineLevel="4">
      <c r="A84" s="172"/>
      <c r="B84" s="324" t="s">
        <v>144</v>
      </c>
      <c r="C84" s="306" t="s">
        <v>145</v>
      </c>
      <c r="D84" s="168" t="s">
        <v>146</v>
      </c>
      <c r="E84" s="169">
        <v>58480.28</v>
      </c>
      <c r="F84" s="250">
        <v>29240.14</v>
      </c>
      <c r="G84" s="252">
        <f t="shared" si="15"/>
        <v>-29240.14</v>
      </c>
      <c r="H84" s="251">
        <f t="shared" si="16"/>
        <v>0.5</v>
      </c>
      <c r="I84" s="250">
        <v>29240.14</v>
      </c>
      <c r="J84" s="250"/>
      <c r="K84" s="250">
        <v>27691.96</v>
      </c>
      <c r="L84" s="250">
        <f t="shared" si="17"/>
        <v>27691.96</v>
      </c>
      <c r="M84" s="251"/>
      <c r="N84" s="250">
        <f t="shared" si="18"/>
        <v>-1548.1800000000003</v>
      </c>
      <c r="O84" s="251"/>
      <c r="P84" s="329"/>
      <c r="Q84" s="317" t="s">
        <v>147</v>
      </c>
    </row>
    <row r="85" spans="1:17" ht="47.25" customHeight="1" hidden="1" outlineLevel="2">
      <c r="A85" s="172" t="s">
        <v>148</v>
      </c>
      <c r="B85" s="324" t="s">
        <v>149</v>
      </c>
      <c r="C85" s="306" t="s">
        <v>150</v>
      </c>
      <c r="D85" s="168" t="s">
        <v>148</v>
      </c>
      <c r="E85" s="170">
        <v>5843542.64</v>
      </c>
      <c r="F85" s="252">
        <v>2796000</v>
      </c>
      <c r="G85" s="252">
        <f t="shared" si="15"/>
        <v>-3047542.6399999997</v>
      </c>
      <c r="H85" s="251">
        <f t="shared" si="16"/>
        <v>0.47847687135213585</v>
      </c>
      <c r="I85" s="250">
        <v>4966000</v>
      </c>
      <c r="J85" s="250"/>
      <c r="K85" s="252">
        <v>2072500</v>
      </c>
      <c r="L85" s="250">
        <f t="shared" si="17"/>
        <v>2072500</v>
      </c>
      <c r="M85" s="251">
        <f aca="true" t="shared" si="20" ref="M85:M112">I85/G85</f>
        <v>-1.6295096038426555</v>
      </c>
      <c r="N85" s="250">
        <f t="shared" si="18"/>
        <v>-2893500</v>
      </c>
      <c r="O85" s="251">
        <f t="shared" si="14"/>
        <v>0.41733789770438984</v>
      </c>
      <c r="P85" s="329">
        <f t="shared" si="19"/>
        <v>-723500</v>
      </c>
      <c r="Q85" s="315" t="s">
        <v>257</v>
      </c>
    </row>
    <row r="86" spans="1:17" ht="45" customHeight="1" hidden="1" outlineLevel="3">
      <c r="A86" s="172" t="s">
        <v>151</v>
      </c>
      <c r="B86" s="324"/>
      <c r="C86" s="306" t="s">
        <v>23</v>
      </c>
      <c r="D86" s="168" t="s">
        <v>151</v>
      </c>
      <c r="E86" s="169"/>
      <c r="F86" s="250"/>
      <c r="G86" s="252">
        <f t="shared" si="15"/>
        <v>0</v>
      </c>
      <c r="H86" s="251" t="e">
        <f t="shared" si="16"/>
        <v>#DIV/0!</v>
      </c>
      <c r="I86" s="250"/>
      <c r="J86" s="250"/>
      <c r="K86" s="250"/>
      <c r="L86" s="250">
        <f t="shared" si="17"/>
        <v>0</v>
      </c>
      <c r="M86" s="251" t="e">
        <f t="shared" si="20"/>
        <v>#DIV/0!</v>
      </c>
      <c r="N86" s="250">
        <f t="shared" si="18"/>
        <v>0</v>
      </c>
      <c r="O86" s="251" t="e">
        <f t="shared" si="14"/>
        <v>#DIV/0!</v>
      </c>
      <c r="P86" s="329">
        <f t="shared" si="19"/>
        <v>0</v>
      </c>
      <c r="Q86" s="312"/>
    </row>
    <row r="87" spans="1:17" ht="45" customHeight="1" hidden="1" outlineLevel="4">
      <c r="A87" s="172" t="s">
        <v>152</v>
      </c>
      <c r="B87" s="324"/>
      <c r="C87" s="306" t="s">
        <v>153</v>
      </c>
      <c r="D87" s="168" t="s">
        <v>152</v>
      </c>
      <c r="E87" s="169"/>
      <c r="F87" s="250"/>
      <c r="G87" s="252">
        <f t="shared" si="15"/>
        <v>0</v>
      </c>
      <c r="H87" s="251" t="e">
        <f t="shared" si="16"/>
        <v>#DIV/0!</v>
      </c>
      <c r="I87" s="250"/>
      <c r="J87" s="250"/>
      <c r="K87" s="250"/>
      <c r="L87" s="250">
        <f t="shared" si="17"/>
        <v>0</v>
      </c>
      <c r="M87" s="251" t="e">
        <f t="shared" si="20"/>
        <v>#DIV/0!</v>
      </c>
      <c r="N87" s="250">
        <f t="shared" si="18"/>
        <v>0</v>
      </c>
      <c r="O87" s="251" t="e">
        <f t="shared" si="14"/>
        <v>#DIV/0!</v>
      </c>
      <c r="P87" s="329">
        <f t="shared" si="19"/>
        <v>0</v>
      </c>
      <c r="Q87" s="312"/>
    </row>
    <row r="88" spans="1:17" ht="45" customHeight="1" hidden="1" outlineLevel="5">
      <c r="A88" s="172" t="s">
        <v>152</v>
      </c>
      <c r="B88" s="324"/>
      <c r="C88" s="306" t="s">
        <v>154</v>
      </c>
      <c r="D88" s="168" t="s">
        <v>152</v>
      </c>
      <c r="E88" s="169"/>
      <c r="F88" s="250"/>
      <c r="G88" s="252">
        <f t="shared" si="15"/>
        <v>0</v>
      </c>
      <c r="H88" s="251" t="e">
        <f t="shared" si="16"/>
        <v>#DIV/0!</v>
      </c>
      <c r="I88" s="250"/>
      <c r="J88" s="250"/>
      <c r="K88" s="250"/>
      <c r="L88" s="250">
        <f t="shared" si="17"/>
        <v>0</v>
      </c>
      <c r="M88" s="251" t="e">
        <f t="shared" si="20"/>
        <v>#DIV/0!</v>
      </c>
      <c r="N88" s="250">
        <f t="shared" si="18"/>
        <v>0</v>
      </c>
      <c r="O88" s="251" t="e">
        <f t="shared" si="14"/>
        <v>#DIV/0!</v>
      </c>
      <c r="P88" s="329">
        <f t="shared" si="19"/>
        <v>0</v>
      </c>
      <c r="Q88" s="312"/>
    </row>
    <row r="89" spans="1:17" ht="53.25" customHeight="1" hidden="1" outlineLevel="2" collapsed="1">
      <c r="A89" s="172" t="s">
        <v>155</v>
      </c>
      <c r="B89" s="324" t="s">
        <v>156</v>
      </c>
      <c r="C89" s="306" t="s">
        <v>157</v>
      </c>
      <c r="D89" s="168" t="s">
        <v>155</v>
      </c>
      <c r="E89" s="169">
        <v>6172719.82</v>
      </c>
      <c r="F89" s="250">
        <v>2107326.99</v>
      </c>
      <c r="G89" s="252">
        <f t="shared" si="15"/>
        <v>-4065392.83</v>
      </c>
      <c r="H89" s="251">
        <f t="shared" si="16"/>
        <v>0.34139359171497274</v>
      </c>
      <c r="I89" s="250">
        <v>5308000</v>
      </c>
      <c r="J89" s="250">
        <v>400000</v>
      </c>
      <c r="K89" s="250">
        <f>1814040.33+8</f>
        <v>1814048.33</v>
      </c>
      <c r="L89" s="250">
        <f t="shared" si="17"/>
        <v>1414048.33</v>
      </c>
      <c r="M89" s="251">
        <f t="shared" si="20"/>
        <v>-1.3056548830485344</v>
      </c>
      <c r="N89" s="250">
        <f t="shared" si="18"/>
        <v>-3493951.67</v>
      </c>
      <c r="O89" s="251">
        <f t="shared" si="14"/>
        <v>0.3417574095704597</v>
      </c>
      <c r="P89" s="329">
        <f t="shared" si="19"/>
        <v>-293278.66000000015</v>
      </c>
      <c r="Q89" s="315"/>
    </row>
    <row r="90" spans="1:17" ht="98.25" customHeight="1" hidden="1" outlineLevel="1">
      <c r="A90" s="172" t="s">
        <v>158</v>
      </c>
      <c r="B90" s="324" t="s">
        <v>159</v>
      </c>
      <c r="C90" s="306" t="s">
        <v>160</v>
      </c>
      <c r="D90" s="168" t="s">
        <v>158</v>
      </c>
      <c r="E90" s="169">
        <v>485335.25</v>
      </c>
      <c r="F90" s="250">
        <v>200111.45</v>
      </c>
      <c r="G90" s="252">
        <f>F90-E90</f>
        <v>-285223.8</v>
      </c>
      <c r="H90" s="251">
        <f>F90/E90</f>
        <v>0.41231591976886084</v>
      </c>
      <c r="I90" s="250">
        <v>231800</v>
      </c>
      <c r="J90" s="250">
        <v>0</v>
      </c>
      <c r="K90" s="250">
        <v>63226.38</v>
      </c>
      <c r="L90" s="250">
        <f>K90-J90</f>
        <v>63226.38</v>
      </c>
      <c r="M90" s="251">
        <f t="shared" si="20"/>
        <v>-0.8126951537704779</v>
      </c>
      <c r="N90" s="250">
        <f>K90-I90</f>
        <v>-168573.62</v>
      </c>
      <c r="O90" s="251">
        <f t="shared" si="14"/>
        <v>0.2727626402070751</v>
      </c>
      <c r="P90" s="329">
        <f>K90-F90</f>
        <v>-136885.07</v>
      </c>
      <c r="Q90" s="318"/>
    </row>
    <row r="91" spans="1:17" ht="45" customHeight="1" hidden="1" outlineLevel="3">
      <c r="A91" s="172" t="s">
        <v>161</v>
      </c>
      <c r="B91" s="324"/>
      <c r="C91" s="306" t="s">
        <v>23</v>
      </c>
      <c r="D91" s="168" t="s">
        <v>161</v>
      </c>
      <c r="E91" s="169">
        <v>2890.68</v>
      </c>
      <c r="F91" s="250">
        <v>2890.68</v>
      </c>
      <c r="G91" s="252"/>
      <c r="H91" s="251">
        <f aca="true" t="shared" si="21" ref="H91:H130">F91/E91</f>
        <v>1</v>
      </c>
      <c r="I91" s="250">
        <v>33800</v>
      </c>
      <c r="J91" s="250"/>
      <c r="K91" s="250">
        <v>2890.68</v>
      </c>
      <c r="L91" s="250">
        <f aca="true" t="shared" si="22" ref="L91:L120">K91-J91</f>
        <v>2890.68</v>
      </c>
      <c r="M91" s="251" t="e">
        <f t="shared" si="20"/>
        <v>#DIV/0!</v>
      </c>
      <c r="N91" s="250">
        <f aca="true" t="shared" si="23" ref="N91:N106">K91-I91</f>
        <v>-30909.32</v>
      </c>
      <c r="O91" s="251">
        <f t="shared" si="14"/>
        <v>0.08552307692307692</v>
      </c>
      <c r="P91" s="329">
        <f aca="true" t="shared" si="24" ref="P91:P130">K91-F91</f>
        <v>0</v>
      </c>
      <c r="Q91" s="312"/>
    </row>
    <row r="92" spans="1:17" ht="45" customHeight="1" hidden="1" outlineLevel="4">
      <c r="A92" s="172" t="s">
        <v>162</v>
      </c>
      <c r="B92" s="324"/>
      <c r="C92" s="306" t="s">
        <v>163</v>
      </c>
      <c r="D92" s="168" t="s">
        <v>162</v>
      </c>
      <c r="E92" s="169">
        <v>0</v>
      </c>
      <c r="F92" s="250">
        <v>2890.68</v>
      </c>
      <c r="G92" s="252"/>
      <c r="H92" s="251" t="e">
        <f t="shared" si="21"/>
        <v>#DIV/0!</v>
      </c>
      <c r="I92" s="250">
        <v>33800</v>
      </c>
      <c r="J92" s="250"/>
      <c r="K92" s="250">
        <v>2890.68</v>
      </c>
      <c r="L92" s="250">
        <f t="shared" si="22"/>
        <v>2890.68</v>
      </c>
      <c r="M92" s="251" t="e">
        <f t="shared" si="20"/>
        <v>#DIV/0!</v>
      </c>
      <c r="N92" s="250">
        <f t="shared" si="23"/>
        <v>-30909.32</v>
      </c>
      <c r="O92" s="251">
        <f t="shared" si="14"/>
        <v>0.08552307692307692</v>
      </c>
      <c r="P92" s="329">
        <f t="shared" si="24"/>
        <v>0</v>
      </c>
      <c r="Q92" s="312"/>
    </row>
    <row r="93" spans="1:17" ht="45" customHeight="1" hidden="1" outlineLevel="5">
      <c r="A93" s="172" t="s">
        <v>162</v>
      </c>
      <c r="B93" s="324"/>
      <c r="C93" s="306" t="s">
        <v>164</v>
      </c>
      <c r="D93" s="168" t="s">
        <v>162</v>
      </c>
      <c r="E93" s="169">
        <v>2890.68</v>
      </c>
      <c r="F93" s="250">
        <v>0</v>
      </c>
      <c r="G93" s="252"/>
      <c r="H93" s="251">
        <f t="shared" si="21"/>
        <v>0</v>
      </c>
      <c r="I93" s="250">
        <v>33800</v>
      </c>
      <c r="J93" s="250"/>
      <c r="K93" s="250">
        <v>0</v>
      </c>
      <c r="L93" s="250">
        <f t="shared" si="22"/>
        <v>0</v>
      </c>
      <c r="M93" s="251" t="e">
        <f t="shared" si="20"/>
        <v>#DIV/0!</v>
      </c>
      <c r="N93" s="250">
        <f t="shared" si="23"/>
        <v>-33800</v>
      </c>
      <c r="O93" s="251">
        <f t="shared" si="14"/>
        <v>0</v>
      </c>
      <c r="P93" s="329">
        <f t="shared" si="24"/>
        <v>0</v>
      </c>
      <c r="Q93" s="312"/>
    </row>
    <row r="94" spans="1:17" ht="45" customHeight="1" hidden="1" outlineLevel="5">
      <c r="A94" s="172" t="s">
        <v>165</v>
      </c>
      <c r="B94" s="324"/>
      <c r="C94" s="306" t="s">
        <v>164</v>
      </c>
      <c r="D94" s="168" t="s">
        <v>165</v>
      </c>
      <c r="E94" s="169">
        <v>53.23</v>
      </c>
      <c r="F94" s="250">
        <v>2890.68</v>
      </c>
      <c r="G94" s="252"/>
      <c r="H94" s="251">
        <f t="shared" si="21"/>
        <v>54.30546684200639</v>
      </c>
      <c r="I94" s="250">
        <v>0</v>
      </c>
      <c r="J94" s="250"/>
      <c r="K94" s="250">
        <v>2890.68</v>
      </c>
      <c r="L94" s="250">
        <f t="shared" si="22"/>
        <v>2890.68</v>
      </c>
      <c r="M94" s="251" t="e">
        <f t="shared" si="20"/>
        <v>#DIV/0!</v>
      </c>
      <c r="N94" s="250">
        <f t="shared" si="23"/>
        <v>2890.68</v>
      </c>
      <c r="O94" s="251" t="e">
        <f t="shared" si="14"/>
        <v>#DIV/0!</v>
      </c>
      <c r="P94" s="329">
        <f t="shared" si="24"/>
        <v>0</v>
      </c>
      <c r="Q94" s="312"/>
    </row>
    <row r="95" spans="1:17" ht="45" customHeight="1" hidden="1" outlineLevel="3">
      <c r="A95" s="172" t="s">
        <v>166</v>
      </c>
      <c r="B95" s="324"/>
      <c r="C95" s="306" t="s">
        <v>23</v>
      </c>
      <c r="D95" s="168" t="s">
        <v>166</v>
      </c>
      <c r="E95" s="169">
        <v>53.23</v>
      </c>
      <c r="F95" s="250">
        <v>53.23</v>
      </c>
      <c r="G95" s="252"/>
      <c r="H95" s="251">
        <f t="shared" si="21"/>
        <v>1</v>
      </c>
      <c r="I95" s="250">
        <v>0</v>
      </c>
      <c r="J95" s="250"/>
      <c r="K95" s="250">
        <v>53.23</v>
      </c>
      <c r="L95" s="250">
        <f t="shared" si="22"/>
        <v>53.23</v>
      </c>
      <c r="M95" s="251" t="e">
        <f t="shared" si="20"/>
        <v>#DIV/0!</v>
      </c>
      <c r="N95" s="250">
        <f t="shared" si="23"/>
        <v>53.23</v>
      </c>
      <c r="O95" s="251" t="e">
        <f t="shared" si="14"/>
        <v>#DIV/0!</v>
      </c>
      <c r="P95" s="329">
        <f t="shared" si="24"/>
        <v>0</v>
      </c>
      <c r="Q95" s="312"/>
    </row>
    <row r="96" spans="1:17" ht="45" customHeight="1" hidden="1" outlineLevel="4">
      <c r="A96" s="172" t="s">
        <v>167</v>
      </c>
      <c r="B96" s="324"/>
      <c r="C96" s="306" t="s">
        <v>168</v>
      </c>
      <c r="D96" s="168" t="s">
        <v>167</v>
      </c>
      <c r="E96" s="169">
        <v>53.23</v>
      </c>
      <c r="F96" s="250">
        <v>53.23</v>
      </c>
      <c r="G96" s="252"/>
      <c r="H96" s="251">
        <f t="shared" si="21"/>
        <v>1</v>
      </c>
      <c r="I96" s="250">
        <v>0</v>
      </c>
      <c r="J96" s="250"/>
      <c r="K96" s="250">
        <v>53.23</v>
      </c>
      <c r="L96" s="250">
        <f t="shared" si="22"/>
        <v>53.23</v>
      </c>
      <c r="M96" s="251" t="e">
        <f t="shared" si="20"/>
        <v>#DIV/0!</v>
      </c>
      <c r="N96" s="250">
        <f t="shared" si="23"/>
        <v>53.23</v>
      </c>
      <c r="O96" s="251" t="e">
        <f t="shared" si="14"/>
        <v>#DIV/0!</v>
      </c>
      <c r="P96" s="329">
        <f t="shared" si="24"/>
        <v>0</v>
      </c>
      <c r="Q96" s="312"/>
    </row>
    <row r="97" spans="1:17" ht="45" customHeight="1" hidden="1" outlineLevel="5">
      <c r="A97" s="172" t="s">
        <v>169</v>
      </c>
      <c r="B97" s="324"/>
      <c r="C97" s="306" t="s">
        <v>170</v>
      </c>
      <c r="D97" s="168" t="s">
        <v>169</v>
      </c>
      <c r="E97" s="169">
        <v>481.81</v>
      </c>
      <c r="F97" s="250">
        <v>53.23</v>
      </c>
      <c r="G97" s="252"/>
      <c r="H97" s="251">
        <f t="shared" si="21"/>
        <v>0.11047923455303957</v>
      </c>
      <c r="I97" s="250">
        <v>0</v>
      </c>
      <c r="J97" s="250"/>
      <c r="K97" s="250">
        <v>53.23</v>
      </c>
      <c r="L97" s="250">
        <f t="shared" si="22"/>
        <v>53.23</v>
      </c>
      <c r="M97" s="251" t="e">
        <f t="shared" si="20"/>
        <v>#DIV/0!</v>
      </c>
      <c r="N97" s="250">
        <f t="shared" si="23"/>
        <v>53.23</v>
      </c>
      <c r="O97" s="251" t="e">
        <f t="shared" si="14"/>
        <v>#DIV/0!</v>
      </c>
      <c r="P97" s="329">
        <f t="shared" si="24"/>
        <v>0</v>
      </c>
      <c r="Q97" s="312"/>
    </row>
    <row r="98" spans="1:17" ht="45" customHeight="1" hidden="1" outlineLevel="3">
      <c r="A98" s="172" t="s">
        <v>171</v>
      </c>
      <c r="B98" s="324"/>
      <c r="C98" s="306" t="s">
        <v>23</v>
      </c>
      <c r="D98" s="168" t="s">
        <v>171</v>
      </c>
      <c r="E98" s="169">
        <v>481.81</v>
      </c>
      <c r="F98" s="250">
        <v>481.81</v>
      </c>
      <c r="G98" s="252"/>
      <c r="H98" s="251">
        <f t="shared" si="21"/>
        <v>1</v>
      </c>
      <c r="I98" s="250">
        <v>59400</v>
      </c>
      <c r="J98" s="250"/>
      <c r="K98" s="250">
        <v>481.81</v>
      </c>
      <c r="L98" s="250">
        <f t="shared" si="22"/>
        <v>481.81</v>
      </c>
      <c r="M98" s="251" t="e">
        <f t="shared" si="20"/>
        <v>#DIV/0!</v>
      </c>
      <c r="N98" s="250">
        <f t="shared" si="23"/>
        <v>-58918.19</v>
      </c>
      <c r="O98" s="251">
        <f t="shared" si="14"/>
        <v>0.008111279461279462</v>
      </c>
      <c r="P98" s="329">
        <f t="shared" si="24"/>
        <v>0</v>
      </c>
      <c r="Q98" s="312"/>
    </row>
    <row r="99" spans="1:17" ht="45" customHeight="1" hidden="1" outlineLevel="4">
      <c r="A99" s="172" t="s">
        <v>172</v>
      </c>
      <c r="B99" s="324"/>
      <c r="C99" s="306" t="s">
        <v>173</v>
      </c>
      <c r="D99" s="168" t="s">
        <v>172</v>
      </c>
      <c r="E99" s="169">
        <v>0</v>
      </c>
      <c r="F99" s="250">
        <v>481.81</v>
      </c>
      <c r="G99" s="252"/>
      <c r="H99" s="251" t="e">
        <f t="shared" si="21"/>
        <v>#DIV/0!</v>
      </c>
      <c r="I99" s="250">
        <v>59400</v>
      </c>
      <c r="J99" s="250"/>
      <c r="K99" s="250">
        <v>481.81</v>
      </c>
      <c r="L99" s="250">
        <f t="shared" si="22"/>
        <v>481.81</v>
      </c>
      <c r="M99" s="251" t="e">
        <f t="shared" si="20"/>
        <v>#DIV/0!</v>
      </c>
      <c r="N99" s="250">
        <f t="shared" si="23"/>
        <v>-58918.19</v>
      </c>
      <c r="O99" s="251">
        <f t="shared" si="14"/>
        <v>0.008111279461279462</v>
      </c>
      <c r="P99" s="329">
        <f t="shared" si="24"/>
        <v>0</v>
      </c>
      <c r="Q99" s="312"/>
    </row>
    <row r="100" spans="1:17" ht="45" customHeight="1" hidden="1" outlineLevel="5">
      <c r="A100" s="172" t="s">
        <v>172</v>
      </c>
      <c r="B100" s="324"/>
      <c r="C100" s="306" t="s">
        <v>174</v>
      </c>
      <c r="D100" s="168" t="s">
        <v>172</v>
      </c>
      <c r="E100" s="169">
        <v>481.81</v>
      </c>
      <c r="F100" s="250">
        <v>0</v>
      </c>
      <c r="G100" s="252"/>
      <c r="H100" s="251">
        <f t="shared" si="21"/>
        <v>0</v>
      </c>
      <c r="I100" s="250">
        <v>59400</v>
      </c>
      <c r="J100" s="250"/>
      <c r="K100" s="250">
        <v>0</v>
      </c>
      <c r="L100" s="250">
        <f t="shared" si="22"/>
        <v>0</v>
      </c>
      <c r="M100" s="251" t="e">
        <f t="shared" si="20"/>
        <v>#DIV/0!</v>
      </c>
      <c r="N100" s="250">
        <f t="shared" si="23"/>
        <v>-59400</v>
      </c>
      <c r="O100" s="251">
        <f t="shared" si="14"/>
        <v>0</v>
      </c>
      <c r="P100" s="329">
        <f t="shared" si="24"/>
        <v>0</v>
      </c>
      <c r="Q100" s="312"/>
    </row>
    <row r="101" spans="1:17" ht="45" customHeight="1" hidden="1" outlineLevel="5">
      <c r="A101" s="172" t="s">
        <v>175</v>
      </c>
      <c r="B101" s="324"/>
      <c r="C101" s="306" t="s">
        <v>176</v>
      </c>
      <c r="D101" s="168" t="s">
        <v>175</v>
      </c>
      <c r="E101" s="169">
        <v>39261.54</v>
      </c>
      <c r="F101" s="250">
        <v>481.81</v>
      </c>
      <c r="G101" s="252"/>
      <c r="H101" s="251">
        <f t="shared" si="21"/>
        <v>0.01227180594546215</v>
      </c>
      <c r="I101" s="250">
        <v>0</v>
      </c>
      <c r="J101" s="250"/>
      <c r="K101" s="250">
        <v>481.81</v>
      </c>
      <c r="L101" s="250">
        <f t="shared" si="22"/>
        <v>481.81</v>
      </c>
      <c r="M101" s="251" t="e">
        <f t="shared" si="20"/>
        <v>#DIV/0!</v>
      </c>
      <c r="N101" s="250">
        <f t="shared" si="23"/>
        <v>481.81</v>
      </c>
      <c r="O101" s="251" t="e">
        <f t="shared" si="14"/>
        <v>#DIV/0!</v>
      </c>
      <c r="P101" s="329">
        <f t="shared" si="24"/>
        <v>0</v>
      </c>
      <c r="Q101" s="312"/>
    </row>
    <row r="102" spans="1:17" ht="45" customHeight="1" hidden="1" outlineLevel="3">
      <c r="A102" s="172" t="s">
        <v>177</v>
      </c>
      <c r="B102" s="324"/>
      <c r="C102" s="306" t="s">
        <v>23</v>
      </c>
      <c r="D102" s="168" t="s">
        <v>177</v>
      </c>
      <c r="E102" s="169">
        <v>39261.54</v>
      </c>
      <c r="F102" s="250">
        <v>39261.54</v>
      </c>
      <c r="G102" s="252"/>
      <c r="H102" s="251">
        <f t="shared" si="21"/>
        <v>1</v>
      </c>
      <c r="I102" s="250">
        <v>464900</v>
      </c>
      <c r="J102" s="250"/>
      <c r="K102" s="250">
        <v>39261.54</v>
      </c>
      <c r="L102" s="250">
        <f t="shared" si="22"/>
        <v>39261.54</v>
      </c>
      <c r="M102" s="251" t="e">
        <f t="shared" si="20"/>
        <v>#DIV/0!</v>
      </c>
      <c r="N102" s="250">
        <f t="shared" si="23"/>
        <v>-425638.46</v>
      </c>
      <c r="O102" s="251">
        <f t="shared" si="14"/>
        <v>0.0844515809851581</v>
      </c>
      <c r="P102" s="329">
        <f t="shared" si="24"/>
        <v>0</v>
      </c>
      <c r="Q102" s="312"/>
    </row>
    <row r="103" spans="1:17" ht="45" customHeight="1" hidden="1" outlineLevel="4">
      <c r="A103" s="172" t="s">
        <v>178</v>
      </c>
      <c r="B103" s="324"/>
      <c r="C103" s="306" t="s">
        <v>179</v>
      </c>
      <c r="D103" s="168" t="s">
        <v>178</v>
      </c>
      <c r="E103" s="169">
        <v>0</v>
      </c>
      <c r="F103" s="250">
        <v>39261.54</v>
      </c>
      <c r="G103" s="252"/>
      <c r="H103" s="251" t="e">
        <f t="shared" si="21"/>
        <v>#DIV/0!</v>
      </c>
      <c r="I103" s="250">
        <v>464900</v>
      </c>
      <c r="J103" s="250"/>
      <c r="K103" s="250">
        <v>39261.54</v>
      </c>
      <c r="L103" s="250">
        <f t="shared" si="22"/>
        <v>39261.54</v>
      </c>
      <c r="M103" s="251" t="e">
        <f t="shared" si="20"/>
        <v>#DIV/0!</v>
      </c>
      <c r="N103" s="250">
        <f t="shared" si="23"/>
        <v>-425638.46</v>
      </c>
      <c r="O103" s="251">
        <f t="shared" si="14"/>
        <v>0.0844515809851581</v>
      </c>
      <c r="P103" s="329">
        <f t="shared" si="24"/>
        <v>0</v>
      </c>
      <c r="Q103" s="312"/>
    </row>
    <row r="104" spans="1:17" ht="45" customHeight="1" hidden="1" outlineLevel="5">
      <c r="A104" s="172" t="s">
        <v>178</v>
      </c>
      <c r="B104" s="324"/>
      <c r="C104" s="306" t="s">
        <v>180</v>
      </c>
      <c r="D104" s="168" t="s">
        <v>178</v>
      </c>
      <c r="E104" s="169">
        <v>39261.54</v>
      </c>
      <c r="F104" s="250">
        <v>0</v>
      </c>
      <c r="G104" s="252"/>
      <c r="H104" s="251">
        <f t="shared" si="21"/>
        <v>0</v>
      </c>
      <c r="I104" s="250">
        <v>464900</v>
      </c>
      <c r="J104" s="250"/>
      <c r="K104" s="250">
        <v>0</v>
      </c>
      <c r="L104" s="250">
        <f t="shared" si="22"/>
        <v>0</v>
      </c>
      <c r="M104" s="251" t="e">
        <f t="shared" si="20"/>
        <v>#DIV/0!</v>
      </c>
      <c r="N104" s="250">
        <f t="shared" si="23"/>
        <v>-464900</v>
      </c>
      <c r="O104" s="251">
        <f t="shared" si="14"/>
        <v>0</v>
      </c>
      <c r="P104" s="329">
        <f t="shared" si="24"/>
        <v>0</v>
      </c>
      <c r="Q104" s="312"/>
    </row>
    <row r="105" spans="1:17" ht="45" customHeight="1" hidden="1" outlineLevel="5">
      <c r="A105" s="172" t="s">
        <v>181</v>
      </c>
      <c r="B105" s="324"/>
      <c r="C105" s="306" t="s">
        <v>182</v>
      </c>
      <c r="D105" s="168" t="s">
        <v>181</v>
      </c>
      <c r="E105" s="169">
        <f>E106+E107</f>
        <v>10003098.77</v>
      </c>
      <c r="F105" s="250">
        <v>39261.54</v>
      </c>
      <c r="G105" s="252"/>
      <c r="H105" s="251">
        <f t="shared" si="21"/>
        <v>0.003924937752064204</v>
      </c>
      <c r="I105" s="250">
        <v>0</v>
      </c>
      <c r="J105" s="250"/>
      <c r="K105" s="250">
        <v>39261.54</v>
      </c>
      <c r="L105" s="250">
        <f t="shared" si="22"/>
        <v>39261.54</v>
      </c>
      <c r="M105" s="251" t="e">
        <f t="shared" si="20"/>
        <v>#DIV/0!</v>
      </c>
      <c r="N105" s="250">
        <f t="shared" si="23"/>
        <v>39261.54</v>
      </c>
      <c r="O105" s="251" t="e">
        <f t="shared" si="14"/>
        <v>#DIV/0!</v>
      </c>
      <c r="P105" s="329">
        <f t="shared" si="24"/>
        <v>0</v>
      </c>
      <c r="Q105" s="312"/>
    </row>
    <row r="106" spans="1:17" ht="78.75" customHeight="1" hidden="1" outlineLevel="1" collapsed="1">
      <c r="A106" s="172" t="s">
        <v>183</v>
      </c>
      <c r="B106" s="324" t="s">
        <v>184</v>
      </c>
      <c r="C106" s="306" t="s">
        <v>185</v>
      </c>
      <c r="D106" s="168" t="s">
        <v>183</v>
      </c>
      <c r="E106" s="169">
        <f>E107+E108</f>
        <v>6949209.46</v>
      </c>
      <c r="F106" s="250">
        <f>F107+F108</f>
        <v>1051336.56</v>
      </c>
      <c r="G106" s="252">
        <f>G107+G108</f>
        <v>-5897872.9</v>
      </c>
      <c r="H106" s="251">
        <f t="shared" si="21"/>
        <v>0.15128865607685973</v>
      </c>
      <c r="I106" s="250">
        <f>I107+I108</f>
        <v>3385096.2</v>
      </c>
      <c r="J106" s="250">
        <f>J107+J108</f>
        <v>217229</v>
      </c>
      <c r="K106" s="250">
        <f>K107+K108</f>
        <v>967003.59</v>
      </c>
      <c r="L106" s="250">
        <f t="shared" si="22"/>
        <v>749774.59</v>
      </c>
      <c r="M106" s="251">
        <f t="shared" si="20"/>
        <v>-0.5739520429475514</v>
      </c>
      <c r="N106" s="250">
        <f t="shared" si="23"/>
        <v>-2418092.6100000003</v>
      </c>
      <c r="O106" s="251">
        <f t="shared" si="14"/>
        <v>0.2856650248226328</v>
      </c>
      <c r="P106" s="329">
        <f t="shared" si="24"/>
        <v>-84332.97000000009</v>
      </c>
      <c r="Q106" s="312"/>
    </row>
    <row r="107" spans="1:17" ht="62.25" customHeight="1" hidden="1" outlineLevel="2">
      <c r="A107" s="172" t="s">
        <v>186</v>
      </c>
      <c r="B107" s="324" t="s">
        <v>187</v>
      </c>
      <c r="C107" s="306" t="s">
        <v>188</v>
      </c>
      <c r="D107" s="168" t="s">
        <v>186</v>
      </c>
      <c r="E107" s="169">
        <v>3053889.31</v>
      </c>
      <c r="F107" s="250">
        <v>1036482.56</v>
      </c>
      <c r="G107" s="252">
        <f>F107-E107</f>
        <v>-2017406.75</v>
      </c>
      <c r="H107" s="251">
        <f t="shared" si="21"/>
        <v>0.33939755334485255</v>
      </c>
      <c r="I107" s="250">
        <v>3335156.7</v>
      </c>
      <c r="J107" s="250">
        <v>217229</v>
      </c>
      <c r="K107" s="250">
        <v>934950.59</v>
      </c>
      <c r="L107" s="250">
        <f t="shared" si="22"/>
        <v>717721.59</v>
      </c>
      <c r="M107" s="251">
        <f t="shared" si="20"/>
        <v>-1.6531900173328955</v>
      </c>
      <c r="N107" s="250">
        <f>K107-I107</f>
        <v>-2400206.1100000003</v>
      </c>
      <c r="O107" s="251">
        <f t="shared" si="14"/>
        <v>0.28033183268420336</v>
      </c>
      <c r="P107" s="329">
        <f t="shared" si="24"/>
        <v>-101531.97000000009</v>
      </c>
      <c r="Q107" s="318"/>
    </row>
    <row r="108" spans="1:17" ht="35.25" customHeight="1" hidden="1" outlineLevel="3">
      <c r="A108" s="172" t="s">
        <v>189</v>
      </c>
      <c r="B108" s="324" t="s">
        <v>190</v>
      </c>
      <c r="C108" s="306" t="s">
        <v>191</v>
      </c>
      <c r="D108" s="168" t="s">
        <v>192</v>
      </c>
      <c r="E108" s="170">
        <v>3895320.15</v>
      </c>
      <c r="F108" s="252">
        <v>14854</v>
      </c>
      <c r="G108" s="252">
        <f>F108-E108</f>
        <v>-3880466.15</v>
      </c>
      <c r="H108" s="251">
        <f t="shared" si="21"/>
        <v>0.0038132937545582745</v>
      </c>
      <c r="I108" s="250">
        <v>49939.5</v>
      </c>
      <c r="J108" s="250"/>
      <c r="K108" s="252">
        <v>32053</v>
      </c>
      <c r="L108" s="250">
        <f t="shared" si="22"/>
        <v>32053</v>
      </c>
      <c r="M108" s="251">
        <f t="shared" si="20"/>
        <v>-0.012869458995280761</v>
      </c>
      <c r="N108" s="250">
        <f>K108-I108</f>
        <v>-17886.5</v>
      </c>
      <c r="O108" s="251">
        <f t="shared" si="14"/>
        <v>0.6418366223129988</v>
      </c>
      <c r="P108" s="329">
        <f t="shared" si="24"/>
        <v>17199</v>
      </c>
      <c r="Q108" s="315"/>
    </row>
    <row r="109" spans="1:17" ht="39" customHeight="1" outlineLevel="1" collapsed="1">
      <c r="A109" s="172" t="s">
        <v>193</v>
      </c>
      <c r="B109" s="324" t="s">
        <v>194</v>
      </c>
      <c r="C109" s="306" t="s">
        <v>283</v>
      </c>
      <c r="D109" s="168" t="s">
        <v>193</v>
      </c>
      <c r="E109" s="169">
        <f>E110+E111</f>
        <v>19228417.560000002</v>
      </c>
      <c r="F109" s="250">
        <v>6.3</v>
      </c>
      <c r="G109" s="252">
        <f>G110+G111</f>
        <v>-12879648.9</v>
      </c>
      <c r="H109" s="251">
        <f t="shared" si="21"/>
        <v>3.2764006608144403E-07</v>
      </c>
      <c r="I109" s="250">
        <f>I110+I111</f>
        <v>24221136</v>
      </c>
      <c r="J109" s="250">
        <f>J110+J111</f>
        <v>200000</v>
      </c>
      <c r="K109" s="250">
        <v>10.2</v>
      </c>
      <c r="L109" s="250">
        <f t="shared" si="22"/>
        <v>-199989.8</v>
      </c>
      <c r="M109" s="251">
        <f t="shared" si="20"/>
        <v>-1.8805742445355011</v>
      </c>
      <c r="N109" s="250">
        <f>N110+N111</f>
        <v>-13977861.86</v>
      </c>
      <c r="O109" s="251">
        <f t="shared" si="14"/>
        <v>4.211198021430539E-07</v>
      </c>
      <c r="P109" s="329">
        <f t="shared" si="24"/>
        <v>3.8999999999999995</v>
      </c>
      <c r="Q109" s="312"/>
    </row>
    <row r="110" spans="1:17" ht="75.75" customHeight="1" hidden="1" outlineLevel="2">
      <c r="A110" s="172" t="s">
        <v>196</v>
      </c>
      <c r="B110" s="324" t="s">
        <v>197</v>
      </c>
      <c r="C110" s="306" t="s">
        <v>198</v>
      </c>
      <c r="D110" s="168" t="s">
        <v>196</v>
      </c>
      <c r="E110" s="169">
        <v>7574993.66</v>
      </c>
      <c r="F110" s="250">
        <v>3037000</v>
      </c>
      <c r="G110" s="252">
        <f aca="true" t="shared" si="25" ref="G110:G130">F110-E110</f>
        <v>-4537993.66</v>
      </c>
      <c r="H110" s="251">
        <f t="shared" si="21"/>
        <v>0.40092442796843214</v>
      </c>
      <c r="I110" s="250">
        <v>18286836</v>
      </c>
      <c r="J110" s="250"/>
      <c r="K110" s="250">
        <v>3124344.33</v>
      </c>
      <c r="L110" s="250">
        <f t="shared" si="22"/>
        <v>3124344.33</v>
      </c>
      <c r="M110" s="251">
        <f t="shared" si="20"/>
        <v>-4.029718278628005</v>
      </c>
      <c r="N110" s="250">
        <f>K110-I110</f>
        <v>-15162491.67</v>
      </c>
      <c r="O110" s="251">
        <f t="shared" si="14"/>
        <v>0.17085209983837554</v>
      </c>
      <c r="P110" s="329">
        <f t="shared" si="24"/>
        <v>87344.33000000007</v>
      </c>
      <c r="Q110" s="317"/>
    </row>
    <row r="111" spans="1:17" ht="36" customHeight="1" hidden="1" outlineLevel="2">
      <c r="A111" s="172" t="s">
        <v>199</v>
      </c>
      <c r="B111" s="324" t="s">
        <v>200</v>
      </c>
      <c r="C111" s="306" t="s">
        <v>201</v>
      </c>
      <c r="D111" s="168" t="s">
        <v>199</v>
      </c>
      <c r="E111" s="169">
        <v>11653423.9</v>
      </c>
      <c r="F111" s="250">
        <v>3311768.66</v>
      </c>
      <c r="G111" s="252">
        <f t="shared" si="25"/>
        <v>-8341655.24</v>
      </c>
      <c r="H111" s="251">
        <f t="shared" si="21"/>
        <v>0.2841884658465054</v>
      </c>
      <c r="I111" s="250">
        <v>5934300</v>
      </c>
      <c r="J111" s="250">
        <v>200000</v>
      </c>
      <c r="K111" s="250">
        <v>7118929.81</v>
      </c>
      <c r="L111" s="250">
        <f t="shared" si="22"/>
        <v>6918929.81</v>
      </c>
      <c r="M111" s="251">
        <f t="shared" si="20"/>
        <v>-0.7114055699094081</v>
      </c>
      <c r="N111" s="250">
        <f>K111-I111</f>
        <v>1184629.8099999996</v>
      </c>
      <c r="O111" s="251">
        <f t="shared" si="14"/>
        <v>1.1996241865089394</v>
      </c>
      <c r="P111" s="329">
        <f t="shared" si="24"/>
        <v>3807161.1499999994</v>
      </c>
      <c r="Q111" s="315"/>
    </row>
    <row r="112" spans="1:17" ht="51.75" customHeight="1" outlineLevel="1" collapsed="1" thickBot="1">
      <c r="A112" s="172" t="s">
        <v>202</v>
      </c>
      <c r="B112" s="333" t="s">
        <v>203</v>
      </c>
      <c r="C112" s="334" t="s">
        <v>281</v>
      </c>
      <c r="D112" s="335" t="s">
        <v>202</v>
      </c>
      <c r="E112" s="336">
        <v>1668058.37</v>
      </c>
      <c r="F112" s="337">
        <v>0.6</v>
      </c>
      <c r="G112" s="338">
        <f t="shared" si="25"/>
        <v>-1668057.77</v>
      </c>
      <c r="H112" s="339">
        <f t="shared" si="21"/>
        <v>3.59699642884799E-07</v>
      </c>
      <c r="I112" s="337">
        <v>216894.64</v>
      </c>
      <c r="J112" s="337">
        <v>35150</v>
      </c>
      <c r="K112" s="337">
        <f>24.3-23.3</f>
        <v>1</v>
      </c>
      <c r="L112" s="337">
        <f t="shared" si="22"/>
        <v>-35149</v>
      </c>
      <c r="M112" s="339">
        <f t="shared" si="20"/>
        <v>-0.13002825435716175</v>
      </c>
      <c r="N112" s="337">
        <f>K112-I112</f>
        <v>-216893.64</v>
      </c>
      <c r="O112" s="339">
        <f t="shared" si="14"/>
        <v>4.610533482985102E-06</v>
      </c>
      <c r="P112" s="340">
        <f t="shared" si="24"/>
        <v>0.4</v>
      </c>
      <c r="Q112" s="318" t="s">
        <v>258</v>
      </c>
    </row>
    <row r="113" spans="1:17" ht="45.75" customHeight="1" hidden="1" outlineLevel="1">
      <c r="A113" s="172" t="s">
        <v>205</v>
      </c>
      <c r="B113" s="211" t="s">
        <v>206</v>
      </c>
      <c r="C113" s="191" t="s">
        <v>280</v>
      </c>
      <c r="D113" s="192" t="s">
        <v>205</v>
      </c>
      <c r="E113" s="193">
        <f>E114+E115+E116+E117+E118+E119+E120</f>
        <v>7747287.5</v>
      </c>
      <c r="F113" s="248">
        <v>3.7</v>
      </c>
      <c r="G113" s="259">
        <f>G114+G115+G116+G117+G118+G119</f>
        <v>-3942434.1199999996</v>
      </c>
      <c r="H113" s="249">
        <f t="shared" si="21"/>
        <v>4.775865101172507E-07</v>
      </c>
      <c r="I113" s="248">
        <f>I114+I115+I116+I117+I118+I119+I120</f>
        <v>7004782.08</v>
      </c>
      <c r="J113" s="248">
        <f>J114+J115+J116+J117+J118+J119+J120</f>
        <v>918137.48</v>
      </c>
      <c r="K113" s="248">
        <v>3.6</v>
      </c>
      <c r="L113" s="248">
        <f>L114+L115+L116+L117+L118+L119+L120</f>
        <v>2643184.99</v>
      </c>
      <c r="M113" s="248" t="e">
        <f>M114+M115+M116+M117+M118+M119+M120</f>
        <v>#DIV/0!</v>
      </c>
      <c r="N113" s="248">
        <f>N114+N115+N116+N117+N118+N119+N120</f>
        <v>-3443459.6099999994</v>
      </c>
      <c r="O113" s="249">
        <f t="shared" si="14"/>
        <v>5.139346176490904E-07</v>
      </c>
      <c r="P113" s="248">
        <f t="shared" si="24"/>
        <v>-0.10000000000000009</v>
      </c>
      <c r="Q113" s="175"/>
    </row>
    <row r="114" spans="1:17" ht="72" customHeight="1" hidden="1" outlineLevel="1">
      <c r="A114" s="172"/>
      <c r="B114" s="173" t="s">
        <v>208</v>
      </c>
      <c r="C114" s="167" t="s">
        <v>209</v>
      </c>
      <c r="D114" s="168" t="s">
        <v>210</v>
      </c>
      <c r="E114" s="176">
        <v>0</v>
      </c>
      <c r="F114" s="169"/>
      <c r="G114" s="170"/>
      <c r="H114" s="171"/>
      <c r="I114" s="169"/>
      <c r="J114" s="169"/>
      <c r="K114" s="169"/>
      <c r="L114" s="169">
        <f t="shared" si="22"/>
        <v>0</v>
      </c>
      <c r="M114" s="171"/>
      <c r="N114" s="169">
        <f aca="true" t="shared" si="26" ref="N114:N120">K114-I114</f>
        <v>0</v>
      </c>
      <c r="O114" s="171"/>
      <c r="P114" s="169">
        <f t="shared" si="24"/>
        <v>0</v>
      </c>
      <c r="Q114" s="177"/>
    </row>
    <row r="115" spans="1:17" ht="94.5" customHeight="1" hidden="1" outlineLevel="5">
      <c r="A115" s="172" t="s">
        <v>211</v>
      </c>
      <c r="B115" s="173" t="s">
        <v>212</v>
      </c>
      <c r="C115" s="167" t="s">
        <v>213</v>
      </c>
      <c r="D115" s="168" t="s">
        <v>211</v>
      </c>
      <c r="E115" s="169">
        <v>898909.4</v>
      </c>
      <c r="F115" s="169">
        <v>220559.6</v>
      </c>
      <c r="G115" s="170">
        <f t="shared" si="25"/>
        <v>-678349.8</v>
      </c>
      <c r="H115" s="171">
        <f t="shared" si="21"/>
        <v>0.24536354831755014</v>
      </c>
      <c r="I115" s="169">
        <v>936864.56</v>
      </c>
      <c r="J115" s="169"/>
      <c r="K115" s="169">
        <v>370929.6</v>
      </c>
      <c r="L115" s="169">
        <f t="shared" si="22"/>
        <v>370929.6</v>
      </c>
      <c r="M115" s="171">
        <f>I115/G115</f>
        <v>-1.381093589177737</v>
      </c>
      <c r="N115" s="169">
        <f t="shared" si="26"/>
        <v>-565934.9600000001</v>
      </c>
      <c r="O115" s="171">
        <f t="shared" si="14"/>
        <v>0.39592660010535563</v>
      </c>
      <c r="P115" s="169">
        <f t="shared" si="24"/>
        <v>150369.99999999997</v>
      </c>
      <c r="Q115" s="174" t="s">
        <v>259</v>
      </c>
    </row>
    <row r="116" spans="1:17" ht="61.5" customHeight="1" hidden="1" outlineLevel="5">
      <c r="A116" s="172" t="s">
        <v>214</v>
      </c>
      <c r="B116" s="173" t="s">
        <v>215</v>
      </c>
      <c r="C116" s="167" t="s">
        <v>216</v>
      </c>
      <c r="D116" s="168" t="s">
        <v>214</v>
      </c>
      <c r="E116" s="169">
        <v>91219.38</v>
      </c>
      <c r="F116" s="169">
        <v>17992.12</v>
      </c>
      <c r="G116" s="170">
        <f t="shared" si="25"/>
        <v>-73227.26000000001</v>
      </c>
      <c r="H116" s="171">
        <f t="shared" si="21"/>
        <v>0.19724010402175501</v>
      </c>
      <c r="I116" s="169">
        <v>33077</v>
      </c>
      <c r="J116" s="169">
        <v>4255</v>
      </c>
      <c r="K116" s="169"/>
      <c r="L116" s="169">
        <f t="shared" si="22"/>
        <v>-4255</v>
      </c>
      <c r="M116" s="171">
        <f>I116/G116</f>
        <v>-0.45170336839040537</v>
      </c>
      <c r="N116" s="169">
        <f t="shared" si="26"/>
        <v>-33077</v>
      </c>
      <c r="O116" s="171">
        <f t="shared" si="14"/>
        <v>0</v>
      </c>
      <c r="P116" s="169">
        <f t="shared" si="24"/>
        <v>-17992.12</v>
      </c>
      <c r="Q116" s="174"/>
    </row>
    <row r="117" spans="1:17" ht="79.5" customHeight="1" hidden="1" outlineLevel="5">
      <c r="A117" s="172" t="s">
        <v>217</v>
      </c>
      <c r="B117" s="173" t="s">
        <v>218</v>
      </c>
      <c r="C117" s="167" t="s">
        <v>219</v>
      </c>
      <c r="D117" s="168" t="s">
        <v>217</v>
      </c>
      <c r="E117" s="169">
        <v>0</v>
      </c>
      <c r="F117" s="169"/>
      <c r="G117" s="170">
        <f t="shared" si="25"/>
        <v>0</v>
      </c>
      <c r="H117" s="171"/>
      <c r="I117" s="169"/>
      <c r="J117" s="169"/>
      <c r="K117" s="169"/>
      <c r="L117" s="169">
        <f t="shared" si="22"/>
        <v>0</v>
      </c>
      <c r="M117" s="171"/>
      <c r="N117" s="169">
        <f t="shared" si="26"/>
        <v>0</v>
      </c>
      <c r="O117" s="171"/>
      <c r="P117" s="169">
        <f t="shared" si="24"/>
        <v>0</v>
      </c>
      <c r="Q117" s="174"/>
    </row>
    <row r="118" spans="1:17" ht="45" customHeight="1" hidden="1" outlineLevel="5">
      <c r="A118" s="172" t="s">
        <v>220</v>
      </c>
      <c r="B118" s="173"/>
      <c r="C118" s="167" t="s">
        <v>221</v>
      </c>
      <c r="D118" s="168" t="s">
        <v>220</v>
      </c>
      <c r="E118" s="169"/>
      <c r="F118" s="169"/>
      <c r="G118" s="170">
        <f t="shared" si="25"/>
        <v>0</v>
      </c>
      <c r="H118" s="171" t="e">
        <f t="shared" si="21"/>
        <v>#DIV/0!</v>
      </c>
      <c r="I118" s="169"/>
      <c r="J118" s="169"/>
      <c r="K118" s="169"/>
      <c r="L118" s="169">
        <f t="shared" si="22"/>
        <v>0</v>
      </c>
      <c r="M118" s="171" t="e">
        <f aca="true" t="shared" si="27" ref="M118:M127">I118/G118</f>
        <v>#DIV/0!</v>
      </c>
      <c r="N118" s="169">
        <f t="shared" si="26"/>
        <v>0</v>
      </c>
      <c r="O118" s="171" t="e">
        <f t="shared" si="14"/>
        <v>#DIV/0!</v>
      </c>
      <c r="P118" s="169">
        <f t="shared" si="24"/>
        <v>0</v>
      </c>
      <c r="Q118" s="174" t="s">
        <v>222</v>
      </c>
    </row>
    <row r="119" spans="1:17" ht="117" customHeight="1" hidden="1" outlineLevel="5">
      <c r="A119" s="172" t="s">
        <v>223</v>
      </c>
      <c r="B119" s="178" t="s">
        <v>224</v>
      </c>
      <c r="C119" s="179" t="s">
        <v>225</v>
      </c>
      <c r="D119" s="180" t="s">
        <v>223</v>
      </c>
      <c r="E119" s="181">
        <v>5165454.72</v>
      </c>
      <c r="F119" s="181">
        <v>1974597.66</v>
      </c>
      <c r="G119" s="182">
        <f t="shared" si="25"/>
        <v>-3190857.0599999996</v>
      </c>
      <c r="H119" s="183">
        <f t="shared" si="21"/>
        <v>0.3822698614227713</v>
      </c>
      <c r="I119" s="181">
        <v>4745840.52</v>
      </c>
      <c r="J119" s="181">
        <v>913882.48</v>
      </c>
      <c r="K119" s="181">
        <f>1847069.51+54323.36</f>
        <v>1901392.87</v>
      </c>
      <c r="L119" s="181">
        <f t="shared" si="22"/>
        <v>987510.3900000001</v>
      </c>
      <c r="M119" s="183">
        <f t="shared" si="27"/>
        <v>-1.4873247001543843</v>
      </c>
      <c r="N119" s="181">
        <f t="shared" si="26"/>
        <v>-2844447.6499999994</v>
      </c>
      <c r="O119" s="183">
        <f t="shared" si="14"/>
        <v>0.400644071790259</v>
      </c>
      <c r="P119" s="181">
        <f t="shared" si="24"/>
        <v>-73204.7899999998</v>
      </c>
      <c r="Q119" s="184"/>
    </row>
    <row r="120" spans="1:17" ht="47.25" customHeight="1" hidden="1" outlineLevel="5" thickBot="1">
      <c r="A120" s="172"/>
      <c r="B120" s="173" t="s">
        <v>226</v>
      </c>
      <c r="C120" s="185" t="s">
        <v>227</v>
      </c>
      <c r="D120" s="186"/>
      <c r="E120" s="187">
        <v>1591704</v>
      </c>
      <c r="F120" s="187">
        <v>1526308</v>
      </c>
      <c r="G120" s="188">
        <f t="shared" si="25"/>
        <v>-65396</v>
      </c>
      <c r="H120" s="189">
        <f t="shared" si="21"/>
        <v>0.9589144715349085</v>
      </c>
      <c r="I120" s="187">
        <v>1289000</v>
      </c>
      <c r="J120" s="187"/>
      <c r="K120" s="187">
        <v>1289000</v>
      </c>
      <c r="L120" s="181">
        <f t="shared" si="22"/>
        <v>1289000</v>
      </c>
      <c r="M120" s="189">
        <f t="shared" si="27"/>
        <v>-19.710685668848246</v>
      </c>
      <c r="N120" s="181">
        <f t="shared" si="26"/>
        <v>0</v>
      </c>
      <c r="O120" s="189"/>
      <c r="P120" s="181">
        <f t="shared" si="24"/>
        <v>-237308</v>
      </c>
      <c r="Q120" s="190" t="s">
        <v>269</v>
      </c>
    </row>
    <row r="121" spans="1:17" ht="31.5" customHeight="1" hidden="1" thickBot="1">
      <c r="A121" s="172" t="s">
        <v>228</v>
      </c>
      <c r="B121" s="173" t="s">
        <v>226</v>
      </c>
      <c r="C121" s="215" t="s">
        <v>229</v>
      </c>
      <c r="D121" s="216" t="s">
        <v>228</v>
      </c>
      <c r="E121" s="217">
        <f>E122+E126+E127+E128+E129+E130</f>
        <v>3087425772.07</v>
      </c>
      <c r="F121" s="217">
        <f>F122+F126+F127+F128+F129+F130</f>
        <v>422571781.40999997</v>
      </c>
      <c r="G121" s="218">
        <f t="shared" si="25"/>
        <v>-2664853990.6600003</v>
      </c>
      <c r="H121" s="219">
        <f t="shared" si="21"/>
        <v>0.13686864482143707</v>
      </c>
      <c r="I121" s="217">
        <f>I122+I126+I127+I128+I129+I130</f>
        <v>2563683295.13</v>
      </c>
      <c r="J121" s="220" t="s">
        <v>230</v>
      </c>
      <c r="K121" s="217">
        <f>K122+K126+K127+K128+K129+K130</f>
        <v>546674864.62</v>
      </c>
      <c r="L121" s="220" t="s">
        <v>230</v>
      </c>
      <c r="M121" s="219">
        <f t="shared" si="27"/>
        <v>-0.9620351824585543</v>
      </c>
      <c r="N121" s="217">
        <f>N122+N126+N127+N130</f>
        <v>-1911564296.81</v>
      </c>
      <c r="O121" s="219">
        <f t="shared" si="14"/>
        <v>0.2132380648024931</v>
      </c>
      <c r="P121" s="217">
        <f t="shared" si="24"/>
        <v>124103083.21000004</v>
      </c>
      <c r="Q121" s="221"/>
    </row>
    <row r="122" spans="1:17" ht="39.75" customHeight="1" hidden="1" outlineLevel="2">
      <c r="A122" s="172" t="s">
        <v>231</v>
      </c>
      <c r="B122" s="173" t="s">
        <v>232</v>
      </c>
      <c r="C122" s="191" t="s">
        <v>233</v>
      </c>
      <c r="D122" s="192" t="s">
        <v>231</v>
      </c>
      <c r="E122" s="193">
        <v>473098326.55</v>
      </c>
      <c r="F122" s="193">
        <v>146548690.77</v>
      </c>
      <c r="G122" s="194">
        <f t="shared" si="25"/>
        <v>-326549635.78</v>
      </c>
      <c r="H122" s="195">
        <f t="shared" si="21"/>
        <v>0.3097637056522368</v>
      </c>
      <c r="I122" s="193">
        <v>497698288.62</v>
      </c>
      <c r="J122" s="196" t="s">
        <v>230</v>
      </c>
      <c r="K122" s="193">
        <v>165899432.62</v>
      </c>
      <c r="L122" s="196" t="s">
        <v>230</v>
      </c>
      <c r="M122" s="195">
        <f t="shared" si="27"/>
        <v>-1.5241122147669603</v>
      </c>
      <c r="N122" s="181">
        <f aca="true" t="shared" si="28" ref="N122:N129">K122-I122</f>
        <v>-331798856</v>
      </c>
      <c r="O122" s="195">
        <f t="shared" si="14"/>
        <v>0.3333333395218216</v>
      </c>
      <c r="P122" s="193">
        <f t="shared" si="24"/>
        <v>19350741.849999994</v>
      </c>
      <c r="Q122" s="197"/>
    </row>
    <row r="123" spans="1:17" ht="45" customHeight="1" hidden="1" outlineLevel="3">
      <c r="A123" s="172" t="s">
        <v>234</v>
      </c>
      <c r="B123" s="173"/>
      <c r="C123" s="167" t="s">
        <v>235</v>
      </c>
      <c r="D123" s="168" t="s">
        <v>234</v>
      </c>
      <c r="E123" s="169"/>
      <c r="F123" s="169"/>
      <c r="G123" s="194">
        <f t="shared" si="25"/>
        <v>0</v>
      </c>
      <c r="H123" s="195" t="e">
        <f t="shared" si="21"/>
        <v>#DIV/0!</v>
      </c>
      <c r="I123" s="169"/>
      <c r="J123" s="169"/>
      <c r="K123" s="169"/>
      <c r="L123" s="169"/>
      <c r="M123" s="195" t="e">
        <f t="shared" si="27"/>
        <v>#DIV/0!</v>
      </c>
      <c r="N123" s="181">
        <f t="shared" si="28"/>
        <v>0</v>
      </c>
      <c r="O123" s="195" t="e">
        <f t="shared" si="14"/>
        <v>#DIV/0!</v>
      </c>
      <c r="P123" s="193">
        <f t="shared" si="24"/>
        <v>0</v>
      </c>
      <c r="Q123" s="198"/>
    </row>
    <row r="124" spans="1:17" ht="45" customHeight="1" hidden="1" outlineLevel="4">
      <c r="A124" s="172" t="s">
        <v>236</v>
      </c>
      <c r="B124" s="173"/>
      <c r="C124" s="167" t="s">
        <v>237</v>
      </c>
      <c r="D124" s="168" t="s">
        <v>236</v>
      </c>
      <c r="E124" s="169"/>
      <c r="F124" s="169"/>
      <c r="G124" s="194">
        <f t="shared" si="25"/>
        <v>0</v>
      </c>
      <c r="H124" s="195" t="e">
        <f t="shared" si="21"/>
        <v>#DIV/0!</v>
      </c>
      <c r="I124" s="169"/>
      <c r="J124" s="169"/>
      <c r="K124" s="169"/>
      <c r="L124" s="169"/>
      <c r="M124" s="195" t="e">
        <f t="shared" si="27"/>
        <v>#DIV/0!</v>
      </c>
      <c r="N124" s="181">
        <f t="shared" si="28"/>
        <v>0</v>
      </c>
      <c r="O124" s="195" t="e">
        <f t="shared" si="14"/>
        <v>#DIV/0!</v>
      </c>
      <c r="P124" s="193">
        <f t="shared" si="24"/>
        <v>0</v>
      </c>
      <c r="Q124" s="198"/>
    </row>
    <row r="125" spans="1:17" ht="45" customHeight="1" hidden="1" outlineLevel="5">
      <c r="A125" s="172" t="s">
        <v>236</v>
      </c>
      <c r="B125" s="173"/>
      <c r="C125" s="167" t="s">
        <v>238</v>
      </c>
      <c r="D125" s="168" t="s">
        <v>236</v>
      </c>
      <c r="E125" s="169"/>
      <c r="F125" s="169"/>
      <c r="G125" s="194">
        <f t="shared" si="25"/>
        <v>0</v>
      </c>
      <c r="H125" s="195" t="e">
        <f t="shared" si="21"/>
        <v>#DIV/0!</v>
      </c>
      <c r="I125" s="169"/>
      <c r="J125" s="169"/>
      <c r="K125" s="169"/>
      <c r="L125" s="169"/>
      <c r="M125" s="195" t="e">
        <f t="shared" si="27"/>
        <v>#DIV/0!</v>
      </c>
      <c r="N125" s="181">
        <f t="shared" si="28"/>
        <v>0</v>
      </c>
      <c r="O125" s="195" t="e">
        <f t="shared" si="14"/>
        <v>#DIV/0!</v>
      </c>
      <c r="P125" s="193">
        <f t="shared" si="24"/>
        <v>0</v>
      </c>
      <c r="Q125" s="198"/>
    </row>
    <row r="126" spans="1:17" ht="21" customHeight="1" hidden="1" outlineLevel="2" collapsed="1">
      <c r="A126" s="172" t="s">
        <v>239</v>
      </c>
      <c r="B126" s="173" t="s">
        <v>240</v>
      </c>
      <c r="C126" s="167" t="s">
        <v>241</v>
      </c>
      <c r="D126" s="168" t="s">
        <v>242</v>
      </c>
      <c r="E126" s="199">
        <v>1985905932.37</v>
      </c>
      <c r="F126" s="199">
        <v>92969830.07</v>
      </c>
      <c r="G126" s="194">
        <f t="shared" si="25"/>
        <v>-1892936102.3</v>
      </c>
      <c r="H126" s="195">
        <f t="shared" si="21"/>
        <v>0.04681482065922875</v>
      </c>
      <c r="I126" s="169">
        <v>1359152528.19</v>
      </c>
      <c r="J126" s="196" t="s">
        <v>230</v>
      </c>
      <c r="K126" s="199">
        <v>147951413.94</v>
      </c>
      <c r="L126" s="196" t="s">
        <v>230</v>
      </c>
      <c r="M126" s="195">
        <f t="shared" si="27"/>
        <v>-0.7180128935882043</v>
      </c>
      <c r="N126" s="181">
        <f t="shared" si="28"/>
        <v>-1211201114.25</v>
      </c>
      <c r="O126" s="195">
        <f t="shared" si="14"/>
        <v>0.10885563678200907</v>
      </c>
      <c r="P126" s="193">
        <f t="shared" si="24"/>
        <v>54981583.870000005</v>
      </c>
      <c r="Q126" s="198"/>
    </row>
    <row r="127" spans="1:17" ht="22.5" customHeight="1" hidden="1" outlineLevel="5">
      <c r="A127" s="172" t="s">
        <v>243</v>
      </c>
      <c r="B127" s="173" t="s">
        <v>244</v>
      </c>
      <c r="C127" s="167" t="s">
        <v>245</v>
      </c>
      <c r="D127" s="168" t="s">
        <v>246</v>
      </c>
      <c r="E127" s="169">
        <v>520683169.05</v>
      </c>
      <c r="F127" s="169">
        <v>174731419.23</v>
      </c>
      <c r="G127" s="194">
        <f t="shared" si="25"/>
        <v>-345951749.82000005</v>
      </c>
      <c r="H127" s="195">
        <f t="shared" si="21"/>
        <v>0.3355810781224252</v>
      </c>
      <c r="I127" s="169">
        <v>569411761.15</v>
      </c>
      <c r="J127" s="196" t="s">
        <v>230</v>
      </c>
      <c r="K127" s="169">
        <v>200847434.59</v>
      </c>
      <c r="L127" s="196" t="s">
        <v>230</v>
      </c>
      <c r="M127" s="195">
        <f t="shared" si="27"/>
        <v>-1.6459282586264328</v>
      </c>
      <c r="N127" s="181">
        <f t="shared" si="28"/>
        <v>-368564326.55999994</v>
      </c>
      <c r="O127" s="195">
        <f t="shared" si="14"/>
        <v>0.35272793485045495</v>
      </c>
      <c r="P127" s="193">
        <f t="shared" si="24"/>
        <v>26116015.360000014</v>
      </c>
      <c r="Q127" s="198"/>
    </row>
    <row r="128" spans="1:17" ht="22.5" customHeight="1" hidden="1" outlineLevel="5">
      <c r="A128" s="172"/>
      <c r="B128" s="173" t="s">
        <v>247</v>
      </c>
      <c r="C128" s="167" t="s">
        <v>248</v>
      </c>
      <c r="D128" s="168"/>
      <c r="E128" s="169">
        <v>110208359.34</v>
      </c>
      <c r="F128" s="169">
        <v>8615171.26</v>
      </c>
      <c r="G128" s="194">
        <f t="shared" si="25"/>
        <v>-101593188.08</v>
      </c>
      <c r="H128" s="195">
        <f t="shared" si="21"/>
        <v>0.07817166784437497</v>
      </c>
      <c r="I128" s="169">
        <v>135974047.4</v>
      </c>
      <c r="J128" s="196" t="s">
        <v>230</v>
      </c>
      <c r="K128" s="169">
        <v>31039913.7</v>
      </c>
      <c r="L128" s="196" t="s">
        <v>230</v>
      </c>
      <c r="M128" s="195"/>
      <c r="N128" s="181">
        <f t="shared" si="28"/>
        <v>-104934133.7</v>
      </c>
      <c r="O128" s="195"/>
      <c r="P128" s="193">
        <f t="shared" si="24"/>
        <v>22424742.439999998</v>
      </c>
      <c r="Q128" s="198"/>
    </row>
    <row r="129" spans="1:17" ht="54" customHeight="1" hidden="1" outlineLevel="5">
      <c r="A129" s="172"/>
      <c r="B129" s="173" t="s">
        <v>249</v>
      </c>
      <c r="C129" s="167" t="s">
        <v>250</v>
      </c>
      <c r="D129" s="168"/>
      <c r="E129" s="181">
        <v>1669917.56</v>
      </c>
      <c r="F129" s="181"/>
      <c r="G129" s="194"/>
      <c r="H129" s="195"/>
      <c r="I129" s="169">
        <v>1446811.59</v>
      </c>
      <c r="J129" s="196" t="s">
        <v>230</v>
      </c>
      <c r="K129" s="181">
        <v>936811.59</v>
      </c>
      <c r="L129" s="196" t="s">
        <v>230</v>
      </c>
      <c r="M129" s="195"/>
      <c r="N129" s="181">
        <f t="shared" si="28"/>
        <v>-510000.0000000001</v>
      </c>
      <c r="O129" s="195"/>
      <c r="P129" s="193">
        <f t="shared" si="24"/>
        <v>936811.59</v>
      </c>
      <c r="Q129" s="198"/>
    </row>
    <row r="130" spans="1:17" ht="40.5" customHeight="1" hidden="1" outlineLevel="1">
      <c r="A130" s="172" t="s">
        <v>251</v>
      </c>
      <c r="B130" s="173" t="s">
        <v>252</v>
      </c>
      <c r="C130" s="167" t="s">
        <v>253</v>
      </c>
      <c r="D130" s="168" t="s">
        <v>251</v>
      </c>
      <c r="E130" s="181">
        <v>-4139932.8</v>
      </c>
      <c r="F130" s="181">
        <v>-293329.92</v>
      </c>
      <c r="G130" s="194">
        <f t="shared" si="25"/>
        <v>3846602.88</v>
      </c>
      <c r="H130" s="195">
        <f t="shared" si="21"/>
        <v>0.0708537877716276</v>
      </c>
      <c r="I130" s="169">
        <v>-141.82</v>
      </c>
      <c r="J130" s="196" t="s">
        <v>230</v>
      </c>
      <c r="K130" s="181">
        <v>-141.82</v>
      </c>
      <c r="L130" s="196" t="s">
        <v>230</v>
      </c>
      <c r="M130" s="171"/>
      <c r="N130" s="181">
        <f>K130-I130</f>
        <v>0</v>
      </c>
      <c r="O130" s="171"/>
      <c r="P130" s="193">
        <f t="shared" si="24"/>
        <v>293188.1</v>
      </c>
      <c r="Q130" s="198"/>
    </row>
    <row r="131" spans="1:17" ht="23.25" customHeight="1" hidden="1">
      <c r="A131" s="553" t="s">
        <v>254</v>
      </c>
      <c r="B131" s="554"/>
      <c r="C131" s="555"/>
      <c r="D131" s="556"/>
      <c r="E131" s="222">
        <f>E121+E11</f>
        <v>3513539007.31</v>
      </c>
      <c r="F131" s="222">
        <f>F121+F11</f>
        <v>422571903.71</v>
      </c>
      <c r="G131" s="223">
        <f>F131-E131</f>
        <v>-3090967103.6</v>
      </c>
      <c r="H131" s="224">
        <f>F131/E131</f>
        <v>0.12026959223473235</v>
      </c>
      <c r="I131" s="225">
        <f>I121+I11</f>
        <v>2945678046.87</v>
      </c>
      <c r="J131" s="196" t="s">
        <v>230</v>
      </c>
      <c r="K131" s="222">
        <f>K121+K11</f>
        <v>546674981.22</v>
      </c>
      <c r="L131" s="196" t="s">
        <v>230</v>
      </c>
      <c r="M131" s="224">
        <f>I131/G131</f>
        <v>-0.9529955991570457</v>
      </c>
      <c r="N131" s="222">
        <f>N121+N11</f>
        <v>-2293558931.95</v>
      </c>
      <c r="O131" s="224">
        <f>K131/I131</f>
        <v>0.1855854484168365</v>
      </c>
      <c r="P131" s="181">
        <f>K131-F131</f>
        <v>124103077.51000005</v>
      </c>
      <c r="Q131" s="226"/>
    </row>
    <row r="132" spans="1:17" ht="24.75" customHeight="1" hidden="1">
      <c r="A132" s="200"/>
      <c r="B132" s="201">
        <v>46</v>
      </c>
      <c r="C132" s="227" t="s">
        <v>255</v>
      </c>
      <c r="D132" s="202"/>
      <c r="E132" s="203">
        <v>39027</v>
      </c>
      <c r="F132" s="203">
        <v>540</v>
      </c>
      <c r="G132" s="204"/>
      <c r="H132" s="224"/>
      <c r="I132" s="205"/>
      <c r="J132" s="205"/>
      <c r="K132" s="203">
        <v>-8441.91</v>
      </c>
      <c r="L132" s="205"/>
      <c r="M132" s="224"/>
      <c r="N132" s="203"/>
      <c r="O132" s="224"/>
      <c r="P132" s="206"/>
      <c r="Q132" s="207"/>
    </row>
    <row r="133" spans="1:17" ht="26.25" customHeight="1" hidden="1" thickBot="1">
      <c r="A133" s="228"/>
      <c r="B133" s="229"/>
      <c r="C133" s="229"/>
      <c r="D133" s="229"/>
      <c r="E133" s="230">
        <f>E131++E132</f>
        <v>3513578034.31</v>
      </c>
      <c r="F133" s="230">
        <f>F131++F132</f>
        <v>422572443.71</v>
      </c>
      <c r="G133" s="231">
        <f>F133-E133</f>
        <v>-3091005590.6</v>
      </c>
      <c r="H133" s="232">
        <f>F133/E133</f>
        <v>0.12026841003205019</v>
      </c>
      <c r="I133" s="233">
        <f>I131++I132</f>
        <v>2945678046.87</v>
      </c>
      <c r="J133" s="234" t="s">
        <v>230</v>
      </c>
      <c r="K133" s="230">
        <f>K131++K132</f>
        <v>546666539.3100001</v>
      </c>
      <c r="L133" s="235" t="s">
        <v>230</v>
      </c>
      <c r="M133" s="232">
        <f>I133/G133</f>
        <v>-0.95298373313463</v>
      </c>
      <c r="N133" s="230">
        <f>N131++N132</f>
        <v>-2293558931.95</v>
      </c>
      <c r="O133" s="232">
        <f>K133/I133</f>
        <v>0.18558258255374296</v>
      </c>
      <c r="P133" s="231">
        <f>K133-F133</f>
        <v>124094095.60000008</v>
      </c>
      <c r="Q133" s="236"/>
    </row>
    <row r="134" ht="21">
      <c r="E134" s="208"/>
    </row>
    <row r="137" ht="21">
      <c r="E137" s="208"/>
    </row>
  </sheetData>
  <sheetProtection/>
  <mergeCells count="15">
    <mergeCell ref="A6:Q6"/>
    <mergeCell ref="A1:D1"/>
    <mergeCell ref="A2:D2"/>
    <mergeCell ref="A3:E3"/>
    <mergeCell ref="A4:Q4"/>
    <mergeCell ref="A5:D5"/>
    <mergeCell ref="A131:D131"/>
    <mergeCell ref="E7:H9"/>
    <mergeCell ref="I7:O9"/>
    <mergeCell ref="Q7:Q9"/>
    <mergeCell ref="A8:A9"/>
    <mergeCell ref="B7:B9"/>
    <mergeCell ref="C7:C9"/>
    <mergeCell ref="D7:D9"/>
    <mergeCell ref="P7:P9"/>
  </mergeCells>
  <printOptions horizontalCentered="1"/>
  <pageMargins left="0" right="0" top="0.1968503937007874" bottom="0" header="0.3937007874015748" footer="0.3937007874015748"/>
  <pageSetup blackAndWhite="1" errors="blank" fitToHeight="0" fitToWidth="1" horizontalDpi="600" verticalDpi="600" orientation="landscape" paperSize="9" scale="76" r:id="rId1"/>
  <rowBreaks count="2" manualBreakCount="2">
    <brk id="112" min="1" max="16" man="1"/>
    <brk id="113" min="1" max="16" man="1"/>
  </rowBreaks>
</worksheet>
</file>

<file path=xl/worksheets/sheet13.xml><?xml version="1.0" encoding="utf-8"?>
<worksheet xmlns="http://schemas.openxmlformats.org/spreadsheetml/2006/main" xmlns:r="http://schemas.openxmlformats.org/officeDocument/2006/relationships">
  <sheetPr>
    <tabColor theme="0" tint="-0.04997999966144562"/>
    <pageSetUpPr fitToPage="1"/>
  </sheetPr>
  <dimension ref="A1:Q137"/>
  <sheetViews>
    <sheetView showGridLines="0" showZeros="0" view="pageBreakPreview" zoomScale="85" zoomScaleNormal="75" zoomScaleSheetLayoutView="85" zoomScalePageLayoutView="0" workbookViewId="0" topLeftCell="A1">
      <pane ySplit="9" topLeftCell="A72" activePane="bottomLeft" state="frozen"/>
      <selection pane="topLeft" activeCell="A1" sqref="A1"/>
      <selection pane="bottomLeft" activeCell="K72" sqref="K72"/>
    </sheetView>
  </sheetViews>
  <sheetFormatPr defaultColWidth="9.140625" defaultRowHeight="15" outlineLevelRow="5"/>
  <cols>
    <col min="1" max="1" width="9.140625" style="1" hidden="1" customWidth="1"/>
    <col min="2" max="2" width="5.28125" style="1" customWidth="1"/>
    <col min="3" max="3" width="27.421875" style="2" customWidth="1"/>
    <col min="4" max="4" width="18.00390625" style="1" hidden="1" customWidth="1"/>
    <col min="5" max="6" width="21.421875" style="1" bestFit="1" customWidth="1"/>
    <col min="7" max="7" width="20.57421875" style="1" customWidth="1"/>
    <col min="8" max="8" width="10.28125" style="1" customWidth="1"/>
    <col min="9" max="9" width="20.28125" style="1" customWidth="1"/>
    <col min="10" max="10" width="17.57421875" style="1" hidden="1" customWidth="1"/>
    <col min="11" max="11" width="21.421875" style="1" bestFit="1" customWidth="1"/>
    <col min="12" max="12" width="19.140625" style="1" hidden="1" customWidth="1"/>
    <col min="13" max="13" width="14.28125" style="1" hidden="1" customWidth="1"/>
    <col min="14" max="14" width="21.140625" style="1" customWidth="1"/>
    <col min="15" max="15" width="13.8515625" style="1" customWidth="1"/>
    <col min="16" max="16" width="19.28125" style="1" customWidth="1"/>
    <col min="17" max="17" width="50.28125" style="2" bestFit="1" customWidth="1"/>
    <col min="18" max="16384" width="9.140625" style="1" customWidth="1"/>
  </cols>
  <sheetData>
    <row r="1" spans="1:4" ht="13.5" customHeight="1">
      <c r="A1" s="535" t="s">
        <v>0</v>
      </c>
      <c r="B1" s="535"/>
      <c r="C1" s="536"/>
      <c r="D1" s="536"/>
    </row>
    <row r="2" spans="1:4" ht="15" customHeight="1" hidden="1">
      <c r="A2" s="535"/>
      <c r="B2" s="535"/>
      <c r="C2" s="536"/>
      <c r="D2" s="536"/>
    </row>
    <row r="3" spans="1:5" ht="18" customHeight="1">
      <c r="A3" s="537" t="s">
        <v>275</v>
      </c>
      <c r="B3" s="537"/>
      <c r="C3" s="537"/>
      <c r="D3" s="537"/>
      <c r="E3" s="537"/>
    </row>
    <row r="4" spans="1:17" ht="15" customHeight="1">
      <c r="A4" s="538" t="s">
        <v>273</v>
      </c>
      <c r="B4" s="538"/>
      <c r="C4" s="538"/>
      <c r="D4" s="538"/>
      <c r="E4" s="538"/>
      <c r="F4" s="538"/>
      <c r="G4" s="538"/>
      <c r="H4" s="538"/>
      <c r="I4" s="538"/>
      <c r="J4" s="538"/>
      <c r="K4" s="538"/>
      <c r="L4" s="538"/>
      <c r="M4" s="538"/>
      <c r="N4" s="538"/>
      <c r="O4" s="538"/>
      <c r="P4" s="538"/>
      <c r="Q4" s="538"/>
    </row>
    <row r="5" spans="1:4" ht="0.75" customHeight="1">
      <c r="A5" s="539"/>
      <c r="B5" s="539"/>
      <c r="C5" s="540"/>
      <c r="D5" s="540"/>
    </row>
    <row r="6" spans="1:17" ht="12.75" customHeight="1" thickBot="1">
      <c r="A6" s="541" t="s">
        <v>1</v>
      </c>
      <c r="B6" s="541"/>
      <c r="C6" s="541"/>
      <c r="D6" s="541"/>
      <c r="E6" s="541"/>
      <c r="F6" s="541"/>
      <c r="G6" s="541"/>
      <c r="H6" s="541"/>
      <c r="I6" s="541"/>
      <c r="J6" s="541"/>
      <c r="K6" s="541"/>
      <c r="L6" s="541"/>
      <c r="M6" s="541"/>
      <c r="N6" s="541"/>
      <c r="O6" s="541"/>
      <c r="P6" s="541"/>
      <c r="Q6" s="541"/>
    </row>
    <row r="7" spans="1:17" s="4" customFormat="1" ht="24" customHeight="1">
      <c r="A7" s="3"/>
      <c r="B7" s="524"/>
      <c r="C7" s="525" t="s">
        <v>2</v>
      </c>
      <c r="D7" s="527" t="s">
        <v>3</v>
      </c>
      <c r="E7" s="530">
        <v>2022</v>
      </c>
      <c r="F7" s="530"/>
      <c r="G7" s="530"/>
      <c r="H7" s="531"/>
      <c r="I7" s="532">
        <v>2023</v>
      </c>
      <c r="J7" s="530"/>
      <c r="K7" s="530"/>
      <c r="L7" s="530"/>
      <c r="M7" s="530"/>
      <c r="N7" s="530"/>
      <c r="O7" s="531"/>
      <c r="P7" s="533" t="s">
        <v>262</v>
      </c>
      <c r="Q7" s="510" t="s">
        <v>4</v>
      </c>
    </row>
    <row r="8" spans="1:17" s="4" customFormat="1" ht="24" customHeight="1">
      <c r="A8" s="512" t="s">
        <v>5</v>
      </c>
      <c r="B8" s="524"/>
      <c r="C8" s="526"/>
      <c r="D8" s="528"/>
      <c r="E8" s="514" t="s">
        <v>261</v>
      </c>
      <c r="F8" s="516" t="s">
        <v>274</v>
      </c>
      <c r="G8" s="514" t="s">
        <v>6</v>
      </c>
      <c r="H8" s="519" t="s">
        <v>7</v>
      </c>
      <c r="I8" s="516" t="s">
        <v>8</v>
      </c>
      <c r="J8" s="516" t="s">
        <v>9</v>
      </c>
      <c r="K8" s="516" t="s">
        <v>274</v>
      </c>
      <c r="L8" s="523" t="s">
        <v>10</v>
      </c>
      <c r="M8" s="516" t="s">
        <v>11</v>
      </c>
      <c r="N8" s="523" t="s">
        <v>12</v>
      </c>
      <c r="O8" s="516" t="s">
        <v>13</v>
      </c>
      <c r="P8" s="534"/>
      <c r="Q8" s="511"/>
    </row>
    <row r="9" spans="1:17" s="4" customFormat="1" ht="57.75" customHeight="1">
      <c r="A9" s="513"/>
      <c r="B9" s="524"/>
      <c r="C9" s="526"/>
      <c r="D9" s="529"/>
      <c r="E9" s="515"/>
      <c r="F9" s="517"/>
      <c r="G9" s="518"/>
      <c r="H9" s="520"/>
      <c r="I9" s="517"/>
      <c r="J9" s="517"/>
      <c r="K9" s="517"/>
      <c r="L9" s="518"/>
      <c r="M9" s="517"/>
      <c r="N9" s="518"/>
      <c r="O9" s="517"/>
      <c r="P9" s="534"/>
      <c r="Q9" s="511"/>
    </row>
    <row r="10" spans="1:17" s="4" customFormat="1" ht="21" customHeight="1">
      <c r="A10" s="154"/>
      <c r="B10" s="6"/>
      <c r="C10" s="7">
        <v>1</v>
      </c>
      <c r="D10" s="155">
        <v>2</v>
      </c>
      <c r="E10" s="155">
        <v>9</v>
      </c>
      <c r="F10" s="155">
        <v>9</v>
      </c>
      <c r="G10" s="155">
        <v>5</v>
      </c>
      <c r="H10" s="155">
        <v>6</v>
      </c>
      <c r="I10" s="155">
        <v>7</v>
      </c>
      <c r="J10" s="155">
        <v>8</v>
      </c>
      <c r="K10" s="155">
        <v>9</v>
      </c>
      <c r="L10" s="155">
        <v>10</v>
      </c>
      <c r="M10" s="155">
        <v>11</v>
      </c>
      <c r="N10" s="155">
        <v>12</v>
      </c>
      <c r="O10" s="155">
        <v>13</v>
      </c>
      <c r="P10" s="155">
        <v>14</v>
      </c>
      <c r="Q10" s="155">
        <v>15</v>
      </c>
    </row>
    <row r="11" spans="1:17" s="16" customFormat="1" ht="33" customHeight="1" thickBot="1">
      <c r="A11" s="9" t="s">
        <v>14</v>
      </c>
      <c r="B11" s="10" t="s">
        <v>15</v>
      </c>
      <c r="C11" s="11" t="s">
        <v>16</v>
      </c>
      <c r="D11" s="12" t="s">
        <v>14</v>
      </c>
      <c r="E11" s="13">
        <f>E12+E80</f>
        <v>426113235.23999995</v>
      </c>
      <c r="F11" s="13">
        <f>F12+F80</f>
        <v>122341609.31</v>
      </c>
      <c r="G11" s="13">
        <f>F11-E11</f>
        <v>-303771625.92999995</v>
      </c>
      <c r="H11" s="14">
        <f>F11/E11</f>
        <v>0.28711055933546276</v>
      </c>
      <c r="I11" s="13">
        <f>I12+I80</f>
        <v>381994751.74</v>
      </c>
      <c r="J11" s="13">
        <f>J12+J80</f>
        <v>16636685.38</v>
      </c>
      <c r="K11" s="13">
        <f>K12+K80</f>
        <v>139832001.99</v>
      </c>
      <c r="L11" s="13">
        <f>K11-J11</f>
        <v>123195316.61000001</v>
      </c>
      <c r="M11" s="14">
        <f>K11/J11</f>
        <v>8.405039753778166</v>
      </c>
      <c r="N11" s="13">
        <f>K11-I11</f>
        <v>-242162749.75</v>
      </c>
      <c r="O11" s="14">
        <f>K11/I11</f>
        <v>0.3660573904564399</v>
      </c>
      <c r="P11" s="13">
        <f>K11-F11</f>
        <v>17490392.680000007</v>
      </c>
      <c r="Q11" s="15"/>
    </row>
    <row r="12" spans="1:17" s="16" customFormat="1" ht="33" customHeight="1">
      <c r="A12" s="9"/>
      <c r="B12" s="17" t="s">
        <v>17</v>
      </c>
      <c r="C12" s="18" t="s">
        <v>18</v>
      </c>
      <c r="D12" s="19"/>
      <c r="E12" s="20">
        <f>E13+E39+E40+E62+E66+E76</f>
        <v>352618682.34999996</v>
      </c>
      <c r="F12" s="20">
        <f>F13+F39+F40+F62+F66+F76</f>
        <v>100348172.95</v>
      </c>
      <c r="G12" s="20">
        <f>F12-E12</f>
        <v>-252270509.39999998</v>
      </c>
      <c r="H12" s="21">
        <f>F12/E12</f>
        <v>0.2845798534588053</v>
      </c>
      <c r="I12" s="20">
        <f>I13+I39+I40+I62+I66+I76</f>
        <v>320644567.63</v>
      </c>
      <c r="J12" s="20">
        <f>J13+J39+J40+J62+J66+J76</f>
        <v>14406368.9</v>
      </c>
      <c r="K12" s="20">
        <f>K13+K39+K40+K62+K66+K76</f>
        <v>92074420.64</v>
      </c>
      <c r="L12" s="22">
        <f>K12-J12</f>
        <v>77668051.74</v>
      </c>
      <c r="M12" s="21">
        <f>I12/G12</f>
        <v>-1.2710346857134465</v>
      </c>
      <c r="N12" s="22">
        <f>K12-I12</f>
        <v>-228570146.99</v>
      </c>
      <c r="O12" s="21">
        <f>K12/I12</f>
        <v>0.28715415739164196</v>
      </c>
      <c r="P12" s="20">
        <f>K12-F12</f>
        <v>-8273752.310000002</v>
      </c>
      <c r="Q12" s="23"/>
    </row>
    <row r="13" spans="1:17" s="32" customFormat="1" ht="52.5" customHeight="1" outlineLevel="2">
      <c r="A13" s="24" t="s">
        <v>19</v>
      </c>
      <c r="B13" s="25" t="s">
        <v>20</v>
      </c>
      <c r="C13" s="26" t="s">
        <v>21</v>
      </c>
      <c r="D13" s="27" t="s">
        <v>19</v>
      </c>
      <c r="E13" s="141">
        <v>190630093.23</v>
      </c>
      <c r="F13" s="141">
        <v>45627926.3</v>
      </c>
      <c r="G13" s="145">
        <f>F13-E13</f>
        <v>-145002166.93</v>
      </c>
      <c r="H13" s="29">
        <f>F13/E13</f>
        <v>0.23935321819807726</v>
      </c>
      <c r="I13" s="28">
        <v>179717500</v>
      </c>
      <c r="J13" s="30">
        <v>8290000</v>
      </c>
      <c r="K13" s="141">
        <f>32509920.97+1148584.73+12560464.69+3062519.32</f>
        <v>49281489.70999999</v>
      </c>
      <c r="L13" s="28">
        <f>K13-J13</f>
        <v>40991489.70999999</v>
      </c>
      <c r="M13" s="29">
        <f>K13/J13</f>
        <v>5.944691159227984</v>
      </c>
      <c r="N13" s="28">
        <f>K13-I13</f>
        <v>-130436010.29</v>
      </c>
      <c r="O13" s="29">
        <f aca="true" t="shared" si="0" ref="O13:O78">K13/I13</f>
        <v>0.2742164213835603</v>
      </c>
      <c r="P13" s="28">
        <f>K13-F13</f>
        <v>3653563.4099999964</v>
      </c>
      <c r="Q13" s="31" t="s">
        <v>266</v>
      </c>
    </row>
    <row r="14" spans="1:17" s="32" customFormat="1" ht="6.75" customHeight="1" outlineLevel="2">
      <c r="A14" s="24"/>
      <c r="B14" s="33"/>
      <c r="C14" s="34"/>
      <c r="D14" s="35"/>
      <c r="E14" s="42"/>
      <c r="F14" s="39"/>
      <c r="G14" s="146"/>
      <c r="H14" s="38"/>
      <c r="I14" s="36"/>
      <c r="J14" s="142"/>
      <c r="K14" s="142"/>
      <c r="L14" s="36"/>
      <c r="M14" s="38"/>
      <c r="N14" s="36"/>
      <c r="O14" s="38"/>
      <c r="P14" s="36"/>
      <c r="Q14" s="40"/>
    </row>
    <row r="15" spans="1:17" s="32" customFormat="1" ht="15.75" customHeight="1" hidden="1" outlineLevel="3">
      <c r="A15" s="24" t="s">
        <v>22</v>
      </c>
      <c r="B15" s="33"/>
      <c r="C15" s="41" t="s">
        <v>23</v>
      </c>
      <c r="D15" s="143" t="s">
        <v>22</v>
      </c>
      <c r="E15" s="51"/>
      <c r="F15" s="42"/>
      <c r="G15" s="43">
        <f aca="true" t="shared" si="1" ref="G15:G40">F15-E15</f>
        <v>0</v>
      </c>
      <c r="H15" s="44" t="e">
        <f aca="true" t="shared" si="2" ref="H15:H40">F15/E15</f>
        <v>#DIV/0!</v>
      </c>
      <c r="I15" s="42">
        <v>148555700</v>
      </c>
      <c r="J15" s="42"/>
      <c r="K15" s="42"/>
      <c r="L15" s="42"/>
      <c r="M15" s="45" t="e">
        <f aca="true" t="shared" si="3" ref="M15:M75">I15/G15</f>
        <v>#DIV/0!</v>
      </c>
      <c r="N15" s="42"/>
      <c r="O15" s="45">
        <f t="shared" si="0"/>
        <v>0</v>
      </c>
      <c r="P15" s="46">
        <f aca="true" t="shared" si="4" ref="P15:P40">K15-F15</f>
        <v>0</v>
      </c>
      <c r="Q15" s="47"/>
    </row>
    <row r="16" spans="1:17" s="32" customFormat="1" ht="210" customHeight="1" hidden="1" outlineLevel="4">
      <c r="A16" s="24" t="s">
        <v>24</v>
      </c>
      <c r="B16" s="48"/>
      <c r="C16" s="49" t="s">
        <v>25</v>
      </c>
      <c r="D16" s="144" t="s">
        <v>24</v>
      </c>
      <c r="E16" s="51"/>
      <c r="F16" s="51"/>
      <c r="G16" s="52">
        <f t="shared" si="1"/>
        <v>0</v>
      </c>
      <c r="H16" s="53" t="e">
        <f t="shared" si="2"/>
        <v>#DIV/0!</v>
      </c>
      <c r="I16" s="51">
        <v>148555700</v>
      </c>
      <c r="J16" s="51"/>
      <c r="K16" s="51"/>
      <c r="L16" s="51"/>
      <c r="M16" s="54" t="e">
        <f t="shared" si="3"/>
        <v>#DIV/0!</v>
      </c>
      <c r="N16" s="51"/>
      <c r="O16" s="54">
        <f t="shared" si="0"/>
        <v>0</v>
      </c>
      <c r="P16" s="55">
        <f t="shared" si="4"/>
        <v>0</v>
      </c>
      <c r="Q16" s="56"/>
    </row>
    <row r="17" spans="1:17" s="32" customFormat="1" ht="210" customHeight="1" hidden="1" outlineLevel="5">
      <c r="A17" s="24" t="s">
        <v>24</v>
      </c>
      <c r="B17" s="48"/>
      <c r="C17" s="49" t="s">
        <v>26</v>
      </c>
      <c r="D17" s="144" t="s">
        <v>24</v>
      </c>
      <c r="E17" s="51"/>
      <c r="F17" s="51"/>
      <c r="G17" s="52">
        <f t="shared" si="1"/>
        <v>0</v>
      </c>
      <c r="H17" s="53" t="e">
        <f t="shared" si="2"/>
        <v>#DIV/0!</v>
      </c>
      <c r="I17" s="51">
        <v>148555700</v>
      </c>
      <c r="J17" s="51"/>
      <c r="K17" s="51"/>
      <c r="L17" s="51"/>
      <c r="M17" s="54" t="e">
        <f t="shared" si="3"/>
        <v>#DIV/0!</v>
      </c>
      <c r="N17" s="51"/>
      <c r="O17" s="54">
        <f t="shared" si="0"/>
        <v>0</v>
      </c>
      <c r="P17" s="55">
        <f t="shared" si="4"/>
        <v>0</v>
      </c>
      <c r="Q17" s="56"/>
    </row>
    <row r="18" spans="1:17" s="32" customFormat="1" ht="210" customHeight="1" hidden="1" outlineLevel="5">
      <c r="A18" s="24" t="s">
        <v>27</v>
      </c>
      <c r="B18" s="48"/>
      <c r="C18" s="49" t="s">
        <v>28</v>
      </c>
      <c r="D18" s="144" t="s">
        <v>27</v>
      </c>
      <c r="E18" s="51"/>
      <c r="F18" s="51"/>
      <c r="G18" s="52">
        <f t="shared" si="1"/>
        <v>0</v>
      </c>
      <c r="H18" s="53" t="e">
        <f t="shared" si="2"/>
        <v>#DIV/0!</v>
      </c>
      <c r="I18" s="51">
        <v>0</v>
      </c>
      <c r="J18" s="51"/>
      <c r="K18" s="51"/>
      <c r="L18" s="51"/>
      <c r="M18" s="54" t="e">
        <f t="shared" si="3"/>
        <v>#DIV/0!</v>
      </c>
      <c r="N18" s="51"/>
      <c r="O18" s="54" t="e">
        <f t="shared" si="0"/>
        <v>#DIV/0!</v>
      </c>
      <c r="P18" s="55">
        <f t="shared" si="4"/>
        <v>0</v>
      </c>
      <c r="Q18" s="56"/>
    </row>
    <row r="19" spans="1:17" s="32" customFormat="1" ht="210" customHeight="1" hidden="1" outlineLevel="5">
      <c r="A19" s="24" t="s">
        <v>29</v>
      </c>
      <c r="B19" s="48"/>
      <c r="C19" s="49" t="s">
        <v>26</v>
      </c>
      <c r="D19" s="144" t="s">
        <v>29</v>
      </c>
      <c r="E19" s="51"/>
      <c r="F19" s="51"/>
      <c r="G19" s="52">
        <f t="shared" si="1"/>
        <v>0</v>
      </c>
      <c r="H19" s="53" t="e">
        <f t="shared" si="2"/>
        <v>#DIV/0!</v>
      </c>
      <c r="I19" s="51">
        <v>0</v>
      </c>
      <c r="J19" s="51"/>
      <c r="K19" s="51"/>
      <c r="L19" s="51"/>
      <c r="M19" s="54" t="e">
        <f t="shared" si="3"/>
        <v>#DIV/0!</v>
      </c>
      <c r="N19" s="51"/>
      <c r="O19" s="54" t="e">
        <f t="shared" si="0"/>
        <v>#DIV/0!</v>
      </c>
      <c r="P19" s="55">
        <f t="shared" si="4"/>
        <v>0</v>
      </c>
      <c r="Q19" s="56"/>
    </row>
    <row r="20" spans="1:17" s="32" customFormat="1" ht="210" customHeight="1" hidden="1" outlineLevel="5">
      <c r="A20" s="24" t="s">
        <v>30</v>
      </c>
      <c r="B20" s="48"/>
      <c r="C20" s="49" t="s">
        <v>26</v>
      </c>
      <c r="D20" s="144" t="s">
        <v>30</v>
      </c>
      <c r="E20" s="51"/>
      <c r="F20" s="51"/>
      <c r="G20" s="52">
        <f t="shared" si="1"/>
        <v>0</v>
      </c>
      <c r="H20" s="53" t="e">
        <f t="shared" si="2"/>
        <v>#DIV/0!</v>
      </c>
      <c r="I20" s="51">
        <v>0</v>
      </c>
      <c r="J20" s="51"/>
      <c r="K20" s="51"/>
      <c r="L20" s="51"/>
      <c r="M20" s="54" t="e">
        <f t="shared" si="3"/>
        <v>#DIV/0!</v>
      </c>
      <c r="N20" s="51"/>
      <c r="O20" s="54" t="e">
        <f t="shared" si="0"/>
        <v>#DIV/0!</v>
      </c>
      <c r="P20" s="55">
        <f t="shared" si="4"/>
        <v>0</v>
      </c>
      <c r="Q20" s="56"/>
    </row>
    <row r="21" spans="1:17" s="32" customFormat="1" ht="210" customHeight="1" hidden="1" outlineLevel="5">
      <c r="A21" s="24" t="s">
        <v>31</v>
      </c>
      <c r="B21" s="48"/>
      <c r="C21" s="49" t="s">
        <v>28</v>
      </c>
      <c r="D21" s="144" t="s">
        <v>31</v>
      </c>
      <c r="E21" s="51"/>
      <c r="F21" s="51"/>
      <c r="G21" s="52">
        <f t="shared" si="1"/>
        <v>0</v>
      </c>
      <c r="H21" s="53" t="e">
        <f t="shared" si="2"/>
        <v>#DIV/0!</v>
      </c>
      <c r="I21" s="51">
        <v>0</v>
      </c>
      <c r="J21" s="51"/>
      <c r="K21" s="51"/>
      <c r="L21" s="51"/>
      <c r="M21" s="54" t="e">
        <f t="shared" si="3"/>
        <v>#DIV/0!</v>
      </c>
      <c r="N21" s="51"/>
      <c r="O21" s="54" t="e">
        <f t="shared" si="0"/>
        <v>#DIV/0!</v>
      </c>
      <c r="P21" s="55">
        <f t="shared" si="4"/>
        <v>0</v>
      </c>
      <c r="Q21" s="56"/>
    </row>
    <row r="22" spans="1:17" s="32" customFormat="1" ht="15.75" customHeight="1" hidden="1" outlineLevel="3">
      <c r="A22" s="24" t="s">
        <v>32</v>
      </c>
      <c r="B22" s="48"/>
      <c r="C22" s="49" t="s">
        <v>23</v>
      </c>
      <c r="D22" s="144" t="s">
        <v>32</v>
      </c>
      <c r="E22" s="51"/>
      <c r="F22" s="51"/>
      <c r="G22" s="52">
        <f t="shared" si="1"/>
        <v>0</v>
      </c>
      <c r="H22" s="53" t="e">
        <f t="shared" si="2"/>
        <v>#DIV/0!</v>
      </c>
      <c r="I22" s="51">
        <v>750300</v>
      </c>
      <c r="J22" s="51"/>
      <c r="K22" s="51"/>
      <c r="L22" s="51"/>
      <c r="M22" s="54" t="e">
        <f t="shared" si="3"/>
        <v>#DIV/0!</v>
      </c>
      <c r="N22" s="51"/>
      <c r="O22" s="54">
        <f t="shared" si="0"/>
        <v>0</v>
      </c>
      <c r="P22" s="55">
        <f t="shared" si="4"/>
        <v>0</v>
      </c>
      <c r="Q22" s="56"/>
    </row>
    <row r="23" spans="1:17" s="32" customFormat="1" ht="330" customHeight="1" hidden="1" outlineLevel="4">
      <c r="A23" s="24" t="s">
        <v>33</v>
      </c>
      <c r="B23" s="48"/>
      <c r="C23" s="49" t="s">
        <v>34</v>
      </c>
      <c r="D23" s="144" t="s">
        <v>33</v>
      </c>
      <c r="E23" s="51"/>
      <c r="F23" s="51"/>
      <c r="G23" s="52">
        <f t="shared" si="1"/>
        <v>0</v>
      </c>
      <c r="H23" s="53" t="e">
        <f t="shared" si="2"/>
        <v>#DIV/0!</v>
      </c>
      <c r="I23" s="51">
        <v>750300</v>
      </c>
      <c r="J23" s="51"/>
      <c r="K23" s="51"/>
      <c r="L23" s="51"/>
      <c r="M23" s="54" t="e">
        <f t="shared" si="3"/>
        <v>#DIV/0!</v>
      </c>
      <c r="N23" s="51"/>
      <c r="O23" s="54">
        <f t="shared" si="0"/>
        <v>0</v>
      </c>
      <c r="P23" s="55">
        <f t="shared" si="4"/>
        <v>0</v>
      </c>
      <c r="Q23" s="56"/>
    </row>
    <row r="24" spans="1:17" s="32" customFormat="1" ht="330" customHeight="1" hidden="1" outlineLevel="5">
      <c r="A24" s="24" t="s">
        <v>33</v>
      </c>
      <c r="B24" s="48"/>
      <c r="C24" s="49" t="s">
        <v>35</v>
      </c>
      <c r="D24" s="144" t="s">
        <v>33</v>
      </c>
      <c r="E24" s="51"/>
      <c r="F24" s="51"/>
      <c r="G24" s="52">
        <f t="shared" si="1"/>
        <v>0</v>
      </c>
      <c r="H24" s="53" t="e">
        <f t="shared" si="2"/>
        <v>#DIV/0!</v>
      </c>
      <c r="I24" s="51">
        <v>750300</v>
      </c>
      <c r="J24" s="51"/>
      <c r="K24" s="51"/>
      <c r="L24" s="51"/>
      <c r="M24" s="54" t="e">
        <f t="shared" si="3"/>
        <v>#DIV/0!</v>
      </c>
      <c r="N24" s="51"/>
      <c r="O24" s="54">
        <f t="shared" si="0"/>
        <v>0</v>
      </c>
      <c r="P24" s="55">
        <f t="shared" si="4"/>
        <v>0</v>
      </c>
      <c r="Q24" s="56"/>
    </row>
    <row r="25" spans="1:17" s="32" customFormat="1" ht="330" customHeight="1" hidden="1" outlineLevel="5">
      <c r="A25" s="24" t="s">
        <v>36</v>
      </c>
      <c r="B25" s="48"/>
      <c r="C25" s="49" t="s">
        <v>35</v>
      </c>
      <c r="D25" s="144" t="s">
        <v>36</v>
      </c>
      <c r="E25" s="51"/>
      <c r="F25" s="51"/>
      <c r="G25" s="52">
        <f t="shared" si="1"/>
        <v>0</v>
      </c>
      <c r="H25" s="53" t="e">
        <f t="shared" si="2"/>
        <v>#DIV/0!</v>
      </c>
      <c r="I25" s="51">
        <v>0</v>
      </c>
      <c r="J25" s="51"/>
      <c r="K25" s="51"/>
      <c r="L25" s="51"/>
      <c r="M25" s="54" t="e">
        <f t="shared" si="3"/>
        <v>#DIV/0!</v>
      </c>
      <c r="N25" s="51"/>
      <c r="O25" s="54" t="e">
        <f t="shared" si="0"/>
        <v>#DIV/0!</v>
      </c>
      <c r="P25" s="55">
        <f t="shared" si="4"/>
        <v>0</v>
      </c>
      <c r="Q25" s="56"/>
    </row>
    <row r="26" spans="1:17" s="32" customFormat="1" ht="15.75" customHeight="1" hidden="1" outlineLevel="5">
      <c r="A26" s="24" t="s">
        <v>37</v>
      </c>
      <c r="B26" s="48"/>
      <c r="C26" s="49">
        <v>1.82101020200121E+19</v>
      </c>
      <c r="D26" s="144" t="s">
        <v>37</v>
      </c>
      <c r="E26" s="51"/>
      <c r="F26" s="51"/>
      <c r="G26" s="52">
        <f t="shared" si="1"/>
        <v>0</v>
      </c>
      <c r="H26" s="53" t="e">
        <f t="shared" si="2"/>
        <v>#DIV/0!</v>
      </c>
      <c r="I26" s="51">
        <v>0</v>
      </c>
      <c r="J26" s="51"/>
      <c r="K26" s="51"/>
      <c r="L26" s="51"/>
      <c r="M26" s="54" t="e">
        <f t="shared" si="3"/>
        <v>#DIV/0!</v>
      </c>
      <c r="N26" s="51"/>
      <c r="O26" s="54" t="e">
        <f t="shared" si="0"/>
        <v>#DIV/0!</v>
      </c>
      <c r="P26" s="55">
        <f t="shared" si="4"/>
        <v>0</v>
      </c>
      <c r="Q26" s="56"/>
    </row>
    <row r="27" spans="1:17" s="32" customFormat="1" ht="330" customHeight="1" hidden="1" outlineLevel="5">
      <c r="A27" s="24" t="s">
        <v>38</v>
      </c>
      <c r="B27" s="48"/>
      <c r="C27" s="49" t="s">
        <v>35</v>
      </c>
      <c r="D27" s="144" t="s">
        <v>38</v>
      </c>
      <c r="E27" s="51"/>
      <c r="F27" s="51"/>
      <c r="G27" s="52">
        <f t="shared" si="1"/>
        <v>0</v>
      </c>
      <c r="H27" s="53" t="e">
        <f t="shared" si="2"/>
        <v>#DIV/0!</v>
      </c>
      <c r="I27" s="51">
        <v>0</v>
      </c>
      <c r="J27" s="51"/>
      <c r="K27" s="51"/>
      <c r="L27" s="51"/>
      <c r="M27" s="54" t="e">
        <f t="shared" si="3"/>
        <v>#DIV/0!</v>
      </c>
      <c r="N27" s="51"/>
      <c r="O27" s="54" t="e">
        <f t="shared" si="0"/>
        <v>#DIV/0!</v>
      </c>
      <c r="P27" s="55">
        <f t="shared" si="4"/>
        <v>0</v>
      </c>
      <c r="Q27" s="56"/>
    </row>
    <row r="28" spans="1:17" s="32" customFormat="1" ht="15.75" customHeight="1" hidden="1" outlineLevel="3">
      <c r="A28" s="24" t="s">
        <v>39</v>
      </c>
      <c r="B28" s="48"/>
      <c r="C28" s="49" t="s">
        <v>23</v>
      </c>
      <c r="D28" s="144" t="s">
        <v>39</v>
      </c>
      <c r="E28" s="51"/>
      <c r="F28" s="51"/>
      <c r="G28" s="52">
        <f t="shared" si="1"/>
        <v>0</v>
      </c>
      <c r="H28" s="53" t="e">
        <f t="shared" si="2"/>
        <v>#DIV/0!</v>
      </c>
      <c r="I28" s="51">
        <v>450200</v>
      </c>
      <c r="J28" s="51"/>
      <c r="K28" s="51"/>
      <c r="L28" s="51"/>
      <c r="M28" s="54" t="e">
        <f t="shared" si="3"/>
        <v>#DIV/0!</v>
      </c>
      <c r="N28" s="51"/>
      <c r="O28" s="54">
        <f t="shared" si="0"/>
        <v>0</v>
      </c>
      <c r="P28" s="55">
        <f t="shared" si="4"/>
        <v>0</v>
      </c>
      <c r="Q28" s="56"/>
    </row>
    <row r="29" spans="1:17" s="32" customFormat="1" ht="120" customHeight="1" hidden="1" outlineLevel="4">
      <c r="A29" s="24" t="s">
        <v>40</v>
      </c>
      <c r="B29" s="48"/>
      <c r="C29" s="49" t="s">
        <v>41</v>
      </c>
      <c r="D29" s="144" t="s">
        <v>40</v>
      </c>
      <c r="E29" s="51"/>
      <c r="F29" s="51"/>
      <c r="G29" s="52">
        <f t="shared" si="1"/>
        <v>0</v>
      </c>
      <c r="H29" s="53" t="e">
        <f t="shared" si="2"/>
        <v>#DIV/0!</v>
      </c>
      <c r="I29" s="51">
        <v>450200</v>
      </c>
      <c r="J29" s="51"/>
      <c r="K29" s="51"/>
      <c r="L29" s="51"/>
      <c r="M29" s="54" t="e">
        <f t="shared" si="3"/>
        <v>#DIV/0!</v>
      </c>
      <c r="N29" s="51"/>
      <c r="O29" s="54">
        <f t="shared" si="0"/>
        <v>0</v>
      </c>
      <c r="P29" s="55">
        <f t="shared" si="4"/>
        <v>0</v>
      </c>
      <c r="Q29" s="56"/>
    </row>
    <row r="30" spans="1:17" s="32" customFormat="1" ht="120" customHeight="1" hidden="1" outlineLevel="5">
      <c r="A30" s="24" t="s">
        <v>40</v>
      </c>
      <c r="B30" s="48"/>
      <c r="C30" s="49" t="s">
        <v>42</v>
      </c>
      <c r="D30" s="144" t="s">
        <v>40</v>
      </c>
      <c r="E30" s="51"/>
      <c r="F30" s="51"/>
      <c r="G30" s="52">
        <f t="shared" si="1"/>
        <v>0</v>
      </c>
      <c r="H30" s="53" t="e">
        <f t="shared" si="2"/>
        <v>#DIV/0!</v>
      </c>
      <c r="I30" s="51">
        <v>450200</v>
      </c>
      <c r="J30" s="51"/>
      <c r="K30" s="51"/>
      <c r="L30" s="51"/>
      <c r="M30" s="54" t="e">
        <f t="shared" si="3"/>
        <v>#DIV/0!</v>
      </c>
      <c r="N30" s="51"/>
      <c r="O30" s="54">
        <f t="shared" si="0"/>
        <v>0</v>
      </c>
      <c r="P30" s="55">
        <f t="shared" si="4"/>
        <v>0</v>
      </c>
      <c r="Q30" s="56"/>
    </row>
    <row r="31" spans="1:17" s="32" customFormat="1" ht="120" customHeight="1" hidden="1" outlineLevel="5">
      <c r="A31" s="24" t="s">
        <v>43</v>
      </c>
      <c r="B31" s="48"/>
      <c r="C31" s="49" t="s">
        <v>44</v>
      </c>
      <c r="D31" s="144" t="s">
        <v>43</v>
      </c>
      <c r="E31" s="51"/>
      <c r="F31" s="51"/>
      <c r="G31" s="52">
        <f t="shared" si="1"/>
        <v>0</v>
      </c>
      <c r="H31" s="53" t="e">
        <f t="shared" si="2"/>
        <v>#DIV/0!</v>
      </c>
      <c r="I31" s="51">
        <v>0</v>
      </c>
      <c r="J31" s="51"/>
      <c r="K31" s="51"/>
      <c r="L31" s="51"/>
      <c r="M31" s="54" t="e">
        <f t="shared" si="3"/>
        <v>#DIV/0!</v>
      </c>
      <c r="N31" s="51"/>
      <c r="O31" s="54" t="e">
        <f t="shared" si="0"/>
        <v>#DIV/0!</v>
      </c>
      <c r="P31" s="55">
        <f t="shared" si="4"/>
        <v>0</v>
      </c>
      <c r="Q31" s="56"/>
    </row>
    <row r="32" spans="1:17" s="32" customFormat="1" ht="15.75" customHeight="1" hidden="1" outlineLevel="5">
      <c r="A32" s="24" t="s">
        <v>45</v>
      </c>
      <c r="B32" s="48"/>
      <c r="C32" s="49">
        <v>1.82101020300121E+19</v>
      </c>
      <c r="D32" s="144" t="s">
        <v>45</v>
      </c>
      <c r="E32" s="51"/>
      <c r="F32" s="51"/>
      <c r="G32" s="52">
        <f t="shared" si="1"/>
        <v>0</v>
      </c>
      <c r="H32" s="53" t="e">
        <f t="shared" si="2"/>
        <v>#DIV/0!</v>
      </c>
      <c r="I32" s="51">
        <v>0</v>
      </c>
      <c r="J32" s="51"/>
      <c r="K32" s="51"/>
      <c r="L32" s="51"/>
      <c r="M32" s="54" t="e">
        <f t="shared" si="3"/>
        <v>#DIV/0!</v>
      </c>
      <c r="N32" s="51"/>
      <c r="O32" s="54" t="e">
        <f t="shared" si="0"/>
        <v>#DIV/0!</v>
      </c>
      <c r="P32" s="55">
        <f t="shared" si="4"/>
        <v>0</v>
      </c>
      <c r="Q32" s="56"/>
    </row>
    <row r="33" spans="1:17" s="32" customFormat="1" ht="120" customHeight="1" hidden="1" outlineLevel="5">
      <c r="A33" s="24" t="s">
        <v>46</v>
      </c>
      <c r="B33" s="48"/>
      <c r="C33" s="49" t="s">
        <v>44</v>
      </c>
      <c r="D33" s="144" t="s">
        <v>46</v>
      </c>
      <c r="E33" s="51"/>
      <c r="F33" s="51"/>
      <c r="G33" s="52">
        <f t="shared" si="1"/>
        <v>0</v>
      </c>
      <c r="H33" s="53" t="e">
        <f t="shared" si="2"/>
        <v>#DIV/0!</v>
      </c>
      <c r="I33" s="51">
        <v>0</v>
      </c>
      <c r="J33" s="51"/>
      <c r="K33" s="51"/>
      <c r="L33" s="51"/>
      <c r="M33" s="54" t="e">
        <f t="shared" si="3"/>
        <v>#DIV/0!</v>
      </c>
      <c r="N33" s="51"/>
      <c r="O33" s="54" t="e">
        <f t="shared" si="0"/>
        <v>#DIV/0!</v>
      </c>
      <c r="P33" s="55">
        <f t="shared" si="4"/>
        <v>0</v>
      </c>
      <c r="Q33" s="56"/>
    </row>
    <row r="34" spans="1:17" s="32" customFormat="1" ht="120" customHeight="1" hidden="1" outlineLevel="5">
      <c r="A34" s="24" t="s">
        <v>47</v>
      </c>
      <c r="B34" s="48"/>
      <c r="C34" s="49" t="s">
        <v>44</v>
      </c>
      <c r="D34" s="144" t="s">
        <v>47</v>
      </c>
      <c r="E34" s="51"/>
      <c r="F34" s="51"/>
      <c r="G34" s="52">
        <f t="shared" si="1"/>
        <v>0</v>
      </c>
      <c r="H34" s="53" t="e">
        <f t="shared" si="2"/>
        <v>#DIV/0!</v>
      </c>
      <c r="I34" s="51">
        <v>0</v>
      </c>
      <c r="J34" s="51"/>
      <c r="K34" s="51"/>
      <c r="L34" s="51"/>
      <c r="M34" s="54" t="e">
        <f t="shared" si="3"/>
        <v>#DIV/0!</v>
      </c>
      <c r="N34" s="51"/>
      <c r="O34" s="54" t="e">
        <f t="shared" si="0"/>
        <v>#DIV/0!</v>
      </c>
      <c r="P34" s="55">
        <f t="shared" si="4"/>
        <v>0</v>
      </c>
      <c r="Q34" s="56"/>
    </row>
    <row r="35" spans="1:17" s="32" customFormat="1" ht="15.75" customHeight="1" hidden="1" outlineLevel="3">
      <c r="A35" s="24" t="s">
        <v>48</v>
      </c>
      <c r="B35" s="48"/>
      <c r="C35" s="49" t="s">
        <v>23</v>
      </c>
      <c r="D35" s="144" t="s">
        <v>48</v>
      </c>
      <c r="E35" s="51"/>
      <c r="F35" s="51"/>
      <c r="G35" s="52">
        <f t="shared" si="1"/>
        <v>0</v>
      </c>
      <c r="H35" s="53" t="e">
        <f t="shared" si="2"/>
        <v>#DIV/0!</v>
      </c>
      <c r="I35" s="51">
        <v>300100</v>
      </c>
      <c r="J35" s="51"/>
      <c r="K35" s="51"/>
      <c r="L35" s="51"/>
      <c r="M35" s="54" t="e">
        <f t="shared" si="3"/>
        <v>#DIV/0!</v>
      </c>
      <c r="N35" s="51"/>
      <c r="O35" s="54">
        <f t="shared" si="0"/>
        <v>0</v>
      </c>
      <c r="P35" s="55">
        <f t="shared" si="4"/>
        <v>0</v>
      </c>
      <c r="Q35" s="56"/>
    </row>
    <row r="36" spans="1:17" s="32" customFormat="1" ht="270" customHeight="1" hidden="1" outlineLevel="4">
      <c r="A36" s="24" t="s">
        <v>49</v>
      </c>
      <c r="B36" s="48"/>
      <c r="C36" s="49" t="s">
        <v>50</v>
      </c>
      <c r="D36" s="144" t="s">
        <v>49</v>
      </c>
      <c r="E36" s="51"/>
      <c r="F36" s="51"/>
      <c r="G36" s="52">
        <f t="shared" si="1"/>
        <v>0</v>
      </c>
      <c r="H36" s="53" t="e">
        <f t="shared" si="2"/>
        <v>#DIV/0!</v>
      </c>
      <c r="I36" s="51">
        <v>300100</v>
      </c>
      <c r="J36" s="51"/>
      <c r="K36" s="51"/>
      <c r="L36" s="51"/>
      <c r="M36" s="54" t="e">
        <f t="shared" si="3"/>
        <v>#DIV/0!</v>
      </c>
      <c r="N36" s="51"/>
      <c r="O36" s="54">
        <f t="shared" si="0"/>
        <v>0</v>
      </c>
      <c r="P36" s="55">
        <f t="shared" si="4"/>
        <v>0</v>
      </c>
      <c r="Q36" s="56"/>
    </row>
    <row r="37" spans="1:17" s="32" customFormat="1" ht="270" customHeight="1" hidden="1" outlineLevel="5">
      <c r="A37" s="24" t="s">
        <v>49</v>
      </c>
      <c r="B37" s="48"/>
      <c r="C37" s="49" t="s">
        <v>51</v>
      </c>
      <c r="D37" s="144" t="s">
        <v>49</v>
      </c>
      <c r="E37" s="51"/>
      <c r="F37" s="51"/>
      <c r="G37" s="52">
        <f t="shared" si="1"/>
        <v>0</v>
      </c>
      <c r="H37" s="53" t="e">
        <f t="shared" si="2"/>
        <v>#DIV/0!</v>
      </c>
      <c r="I37" s="51">
        <v>300100</v>
      </c>
      <c r="J37" s="51"/>
      <c r="K37" s="51"/>
      <c r="L37" s="51"/>
      <c r="M37" s="54" t="e">
        <f t="shared" si="3"/>
        <v>#DIV/0!</v>
      </c>
      <c r="N37" s="51"/>
      <c r="O37" s="54">
        <f t="shared" si="0"/>
        <v>0</v>
      </c>
      <c r="P37" s="55">
        <f t="shared" si="4"/>
        <v>0</v>
      </c>
      <c r="Q37" s="56"/>
    </row>
    <row r="38" spans="1:17" s="32" customFormat="1" ht="409.5" customHeight="1" hidden="1" outlineLevel="5">
      <c r="A38" s="24" t="s">
        <v>52</v>
      </c>
      <c r="B38" s="48"/>
      <c r="C38" s="49" t="s">
        <v>53</v>
      </c>
      <c r="D38" s="144" t="s">
        <v>52</v>
      </c>
      <c r="E38" s="51">
        <v>8650982.19</v>
      </c>
      <c r="F38" s="51"/>
      <c r="G38" s="52">
        <f t="shared" si="1"/>
        <v>-8650982.19</v>
      </c>
      <c r="H38" s="53">
        <f t="shared" si="2"/>
        <v>0</v>
      </c>
      <c r="I38" s="51">
        <v>0</v>
      </c>
      <c r="J38" s="51"/>
      <c r="K38" s="51"/>
      <c r="L38" s="51"/>
      <c r="M38" s="54">
        <f t="shared" si="3"/>
        <v>0</v>
      </c>
      <c r="N38" s="51"/>
      <c r="O38" s="54" t="e">
        <f t="shared" si="0"/>
        <v>#DIV/0!</v>
      </c>
      <c r="P38" s="55">
        <f t="shared" si="4"/>
        <v>0</v>
      </c>
      <c r="Q38" s="56"/>
    </row>
    <row r="39" spans="1:17" s="32" customFormat="1" ht="57.75" customHeight="1" outlineLevel="2" collapsed="1">
      <c r="A39" s="24" t="s">
        <v>54</v>
      </c>
      <c r="B39" s="48" t="s">
        <v>55</v>
      </c>
      <c r="C39" s="49" t="s">
        <v>56</v>
      </c>
      <c r="D39" s="144" t="s">
        <v>54</v>
      </c>
      <c r="E39" s="51">
        <v>10254357.32</v>
      </c>
      <c r="F39" s="51">
        <v>2877493</v>
      </c>
      <c r="G39" s="52">
        <f t="shared" si="1"/>
        <v>-7376864.32</v>
      </c>
      <c r="H39" s="53">
        <f t="shared" si="2"/>
        <v>0.2806117351096948</v>
      </c>
      <c r="I39" s="51">
        <v>9197170</v>
      </c>
      <c r="J39" s="51">
        <v>676056.9</v>
      </c>
      <c r="K39" s="51">
        <f>2473092.53+43926.65+798665.33</f>
        <v>3315684.51</v>
      </c>
      <c r="L39" s="28">
        <f>K39-J39</f>
        <v>2639627.61</v>
      </c>
      <c r="M39" s="54">
        <f t="shared" si="3"/>
        <v>-1.2467587312219943</v>
      </c>
      <c r="N39" s="51">
        <f>K39-I39</f>
        <v>-5881485.49</v>
      </c>
      <c r="O39" s="54">
        <f t="shared" si="0"/>
        <v>0.3605113866548079</v>
      </c>
      <c r="P39" s="55">
        <f t="shared" si="4"/>
        <v>438191.5099999998</v>
      </c>
      <c r="Q39" s="149" t="s">
        <v>267</v>
      </c>
    </row>
    <row r="40" spans="1:17" s="32" customFormat="1" ht="58.5" customHeight="1" outlineLevel="1">
      <c r="A40" s="24" t="s">
        <v>57</v>
      </c>
      <c r="B40" s="48" t="s">
        <v>58</v>
      </c>
      <c r="C40" s="49" t="s">
        <v>59</v>
      </c>
      <c r="D40" s="144" t="s">
        <v>57</v>
      </c>
      <c r="E40" s="58">
        <f>E41+E42+E52+E56</f>
        <v>45903932.26</v>
      </c>
      <c r="F40" s="51">
        <f>F41+F42+F52+F56</f>
        <v>18314432.53</v>
      </c>
      <c r="G40" s="52">
        <f t="shared" si="1"/>
        <v>-27589499.729999997</v>
      </c>
      <c r="H40" s="53">
        <f t="shared" si="2"/>
        <v>0.3989730645790214</v>
      </c>
      <c r="I40" s="51">
        <f>I41+I42+I52+I56</f>
        <v>44278800</v>
      </c>
      <c r="J40" s="51">
        <f>J41+J42+J52+J56</f>
        <v>1291804</v>
      </c>
      <c r="K40" s="51">
        <f>K41+K42+K52+K56</f>
        <v>20589455.720000003</v>
      </c>
      <c r="L40" s="28">
        <f>K40-J40</f>
        <v>19297651.720000003</v>
      </c>
      <c r="M40" s="54">
        <f t="shared" si="3"/>
        <v>-1.604914928988457</v>
      </c>
      <c r="N40" s="51">
        <f>N41+N42+N52+N56</f>
        <v>-23689344.279999997</v>
      </c>
      <c r="O40" s="54">
        <f t="shared" si="0"/>
        <v>0.4649957930205878</v>
      </c>
      <c r="P40" s="55">
        <f t="shared" si="4"/>
        <v>2275023.1900000013</v>
      </c>
      <c r="Q40" s="149" t="s">
        <v>267</v>
      </c>
    </row>
    <row r="41" spans="1:17" s="32" customFormat="1" ht="41.25" customHeight="1" outlineLevel="1">
      <c r="A41" s="24"/>
      <c r="B41" s="48" t="s">
        <v>60</v>
      </c>
      <c r="C41" s="59" t="s">
        <v>61</v>
      </c>
      <c r="D41" s="60" t="s">
        <v>62</v>
      </c>
      <c r="E41" s="61">
        <v>33191065.25</v>
      </c>
      <c r="F41" s="61">
        <v>12874387.82</v>
      </c>
      <c r="G41" s="62">
        <f>F41-E41</f>
        <v>-20316677.43</v>
      </c>
      <c r="H41" s="63"/>
      <c r="I41" s="61">
        <v>31715800</v>
      </c>
      <c r="J41" s="61">
        <v>728906</v>
      </c>
      <c r="K41" s="61">
        <f>7105876.89+218530.25+9113559.89+1115052.69</f>
        <v>17553019.720000003</v>
      </c>
      <c r="L41" s="61">
        <f>K41-J41</f>
        <v>16824113.720000003</v>
      </c>
      <c r="M41" s="63">
        <f t="shared" si="3"/>
        <v>-1.5610721836419883</v>
      </c>
      <c r="N41" s="61">
        <f>K41-I41</f>
        <v>-14162780.279999997</v>
      </c>
      <c r="O41" s="63">
        <f t="shared" si="0"/>
        <v>0.5534471689189616</v>
      </c>
      <c r="P41" s="61">
        <f>K41-F41</f>
        <v>4678631.900000002</v>
      </c>
      <c r="Q41" s="57"/>
    </row>
    <row r="42" spans="1:17" ht="28.5" outlineLevel="2">
      <c r="A42" s="64" t="s">
        <v>63</v>
      </c>
      <c r="B42" s="65" t="s">
        <v>64</v>
      </c>
      <c r="C42" s="59" t="s">
        <v>65</v>
      </c>
      <c r="D42" s="60" t="s">
        <v>63</v>
      </c>
      <c r="E42" s="61">
        <v>108221.73</v>
      </c>
      <c r="F42" s="61">
        <v>77531.95</v>
      </c>
      <c r="G42" s="62">
        <f>F42-E42</f>
        <v>-30689.78</v>
      </c>
      <c r="H42" s="63">
        <f>F42/E42</f>
        <v>0.7164175808315021</v>
      </c>
      <c r="I42" s="61"/>
      <c r="J42" s="61"/>
      <c r="K42" s="61">
        <v>-221964.26</v>
      </c>
      <c r="L42" s="61">
        <f aca="true" t="shared" si="5" ref="L42:L56">K42-J42</f>
        <v>-221964.26</v>
      </c>
      <c r="M42" s="63">
        <f t="shared" si="3"/>
        <v>0</v>
      </c>
      <c r="N42" s="61">
        <f>K42-I42</f>
        <v>-221964.26</v>
      </c>
      <c r="O42" s="63"/>
      <c r="P42" s="61">
        <f>K42-F42</f>
        <v>-299496.21</v>
      </c>
      <c r="Q42" s="66" t="s">
        <v>263</v>
      </c>
    </row>
    <row r="43" spans="1:17" ht="15" customHeight="1" hidden="1" outlineLevel="3">
      <c r="A43" s="64" t="s">
        <v>66</v>
      </c>
      <c r="B43" s="65"/>
      <c r="C43" s="59" t="s">
        <v>23</v>
      </c>
      <c r="D43" s="60" t="s">
        <v>66</v>
      </c>
      <c r="E43" s="61"/>
      <c r="F43" s="61"/>
      <c r="G43" s="62">
        <f aca="true" t="shared" si="6" ref="G43:G56">F43-E43</f>
        <v>0</v>
      </c>
      <c r="H43" s="63" t="e">
        <f aca="true" t="shared" si="7" ref="H43:H56">F43/E43</f>
        <v>#DIV/0!</v>
      </c>
      <c r="I43" s="61">
        <v>57591300</v>
      </c>
      <c r="J43" s="61"/>
      <c r="K43" s="61"/>
      <c r="L43" s="61">
        <f t="shared" si="5"/>
        <v>0</v>
      </c>
      <c r="M43" s="63" t="e">
        <f t="shared" si="3"/>
        <v>#DIV/0!</v>
      </c>
      <c r="N43" s="61">
        <f aca="true" t="shared" si="8" ref="N43:N56">K43-I43</f>
        <v>-57591300</v>
      </c>
      <c r="O43" s="63">
        <f t="shared" si="0"/>
        <v>0</v>
      </c>
      <c r="P43" s="61">
        <f aca="true" t="shared" si="9" ref="P43:P56">K43-F43</f>
        <v>0</v>
      </c>
      <c r="Q43" s="67"/>
    </row>
    <row r="44" spans="1:17" ht="57" customHeight="1" hidden="1" outlineLevel="4">
      <c r="A44" s="64" t="s">
        <v>67</v>
      </c>
      <c r="B44" s="65"/>
      <c r="C44" s="59" t="s">
        <v>68</v>
      </c>
      <c r="D44" s="60" t="s">
        <v>67</v>
      </c>
      <c r="E44" s="61"/>
      <c r="F44" s="61"/>
      <c r="G44" s="62">
        <f t="shared" si="6"/>
        <v>0</v>
      </c>
      <c r="H44" s="63" t="e">
        <f t="shared" si="7"/>
        <v>#DIV/0!</v>
      </c>
      <c r="I44" s="61">
        <v>57591300</v>
      </c>
      <c r="J44" s="61"/>
      <c r="K44" s="61"/>
      <c r="L44" s="61">
        <f t="shared" si="5"/>
        <v>0</v>
      </c>
      <c r="M44" s="63" t="e">
        <f t="shared" si="3"/>
        <v>#DIV/0!</v>
      </c>
      <c r="N44" s="61">
        <f t="shared" si="8"/>
        <v>-57591300</v>
      </c>
      <c r="O44" s="63">
        <f t="shared" si="0"/>
        <v>0</v>
      </c>
      <c r="P44" s="61">
        <f t="shared" si="9"/>
        <v>0</v>
      </c>
      <c r="Q44" s="67"/>
    </row>
    <row r="45" spans="1:17" ht="57" customHeight="1" hidden="1" outlineLevel="5">
      <c r="A45" s="64" t="s">
        <v>67</v>
      </c>
      <c r="B45" s="65"/>
      <c r="C45" s="59" t="s">
        <v>69</v>
      </c>
      <c r="D45" s="60" t="s">
        <v>67</v>
      </c>
      <c r="E45" s="61"/>
      <c r="F45" s="61"/>
      <c r="G45" s="62">
        <f t="shared" si="6"/>
        <v>0</v>
      </c>
      <c r="H45" s="63" t="e">
        <f t="shared" si="7"/>
        <v>#DIV/0!</v>
      </c>
      <c r="I45" s="61">
        <v>57591300</v>
      </c>
      <c r="J45" s="61"/>
      <c r="K45" s="61"/>
      <c r="L45" s="61">
        <f t="shared" si="5"/>
        <v>0</v>
      </c>
      <c r="M45" s="63" t="e">
        <f t="shared" si="3"/>
        <v>#DIV/0!</v>
      </c>
      <c r="N45" s="61">
        <f t="shared" si="8"/>
        <v>-57591300</v>
      </c>
      <c r="O45" s="63">
        <f t="shared" si="0"/>
        <v>0</v>
      </c>
      <c r="P45" s="61">
        <f t="shared" si="9"/>
        <v>0</v>
      </c>
      <c r="Q45" s="67"/>
    </row>
    <row r="46" spans="1:17" ht="57" customHeight="1" hidden="1" outlineLevel="5">
      <c r="A46" s="64" t="s">
        <v>70</v>
      </c>
      <c r="B46" s="65"/>
      <c r="C46" s="59" t="s">
        <v>69</v>
      </c>
      <c r="D46" s="60" t="s">
        <v>70</v>
      </c>
      <c r="E46" s="61"/>
      <c r="F46" s="61"/>
      <c r="G46" s="62">
        <f t="shared" si="6"/>
        <v>0</v>
      </c>
      <c r="H46" s="63" t="e">
        <f t="shared" si="7"/>
        <v>#DIV/0!</v>
      </c>
      <c r="I46" s="61">
        <v>0</v>
      </c>
      <c r="J46" s="61"/>
      <c r="K46" s="61"/>
      <c r="L46" s="61">
        <f t="shared" si="5"/>
        <v>0</v>
      </c>
      <c r="M46" s="63" t="e">
        <f t="shared" si="3"/>
        <v>#DIV/0!</v>
      </c>
      <c r="N46" s="61">
        <f t="shared" si="8"/>
        <v>0</v>
      </c>
      <c r="O46" s="63" t="e">
        <f t="shared" si="0"/>
        <v>#DIV/0!</v>
      </c>
      <c r="P46" s="61">
        <f t="shared" si="9"/>
        <v>0</v>
      </c>
      <c r="Q46" s="67"/>
    </row>
    <row r="47" spans="1:17" ht="57" customHeight="1" hidden="1" outlineLevel="5">
      <c r="A47" s="64" t="s">
        <v>71</v>
      </c>
      <c r="B47" s="65"/>
      <c r="C47" s="59" t="s">
        <v>69</v>
      </c>
      <c r="D47" s="60" t="s">
        <v>71</v>
      </c>
      <c r="E47" s="61"/>
      <c r="F47" s="61"/>
      <c r="G47" s="62">
        <f t="shared" si="6"/>
        <v>0</v>
      </c>
      <c r="H47" s="63" t="e">
        <f t="shared" si="7"/>
        <v>#DIV/0!</v>
      </c>
      <c r="I47" s="61">
        <v>0</v>
      </c>
      <c r="J47" s="61"/>
      <c r="K47" s="61"/>
      <c r="L47" s="61">
        <f t="shared" si="5"/>
        <v>0</v>
      </c>
      <c r="M47" s="63" t="e">
        <f t="shared" si="3"/>
        <v>#DIV/0!</v>
      </c>
      <c r="N47" s="61">
        <f t="shared" si="8"/>
        <v>0</v>
      </c>
      <c r="O47" s="63" t="e">
        <f t="shared" si="0"/>
        <v>#DIV/0!</v>
      </c>
      <c r="P47" s="61">
        <f t="shared" si="9"/>
        <v>0</v>
      </c>
      <c r="Q47" s="67"/>
    </row>
    <row r="48" spans="1:17" ht="57" customHeight="1" hidden="1" outlineLevel="5">
      <c r="A48" s="64" t="s">
        <v>72</v>
      </c>
      <c r="B48" s="65"/>
      <c r="C48" s="59" t="s">
        <v>69</v>
      </c>
      <c r="D48" s="60" t="s">
        <v>72</v>
      </c>
      <c r="E48" s="61"/>
      <c r="F48" s="61"/>
      <c r="G48" s="62">
        <f t="shared" si="6"/>
        <v>0</v>
      </c>
      <c r="H48" s="63" t="e">
        <f t="shared" si="7"/>
        <v>#DIV/0!</v>
      </c>
      <c r="I48" s="61">
        <v>0</v>
      </c>
      <c r="J48" s="61"/>
      <c r="K48" s="61"/>
      <c r="L48" s="61">
        <f t="shared" si="5"/>
        <v>0</v>
      </c>
      <c r="M48" s="63" t="e">
        <f t="shared" si="3"/>
        <v>#DIV/0!</v>
      </c>
      <c r="N48" s="61">
        <f t="shared" si="8"/>
        <v>0</v>
      </c>
      <c r="O48" s="63" t="e">
        <f t="shared" si="0"/>
        <v>#DIV/0!</v>
      </c>
      <c r="P48" s="61">
        <f t="shared" si="9"/>
        <v>0</v>
      </c>
      <c r="Q48" s="67"/>
    </row>
    <row r="49" spans="1:17" ht="15" customHeight="1" hidden="1" outlineLevel="3">
      <c r="A49" s="64" t="s">
        <v>73</v>
      </c>
      <c r="B49" s="65"/>
      <c r="C49" s="59" t="s">
        <v>23</v>
      </c>
      <c r="D49" s="60" t="s">
        <v>73</v>
      </c>
      <c r="E49" s="61"/>
      <c r="F49" s="61"/>
      <c r="G49" s="62">
        <f t="shared" si="6"/>
        <v>0</v>
      </c>
      <c r="H49" s="63" t="e">
        <f t="shared" si="7"/>
        <v>#DIV/0!</v>
      </c>
      <c r="I49" s="61">
        <v>0</v>
      </c>
      <c r="J49" s="61"/>
      <c r="K49" s="61"/>
      <c r="L49" s="61">
        <f t="shared" si="5"/>
        <v>0</v>
      </c>
      <c r="M49" s="63" t="e">
        <f t="shared" si="3"/>
        <v>#DIV/0!</v>
      </c>
      <c r="N49" s="61">
        <f t="shared" si="8"/>
        <v>0</v>
      </c>
      <c r="O49" s="63" t="e">
        <f t="shared" si="0"/>
        <v>#DIV/0!</v>
      </c>
      <c r="P49" s="61">
        <f t="shared" si="9"/>
        <v>0</v>
      </c>
      <c r="Q49" s="67"/>
    </row>
    <row r="50" spans="1:17" ht="99.75" customHeight="1" hidden="1" outlineLevel="4">
      <c r="A50" s="64" t="s">
        <v>74</v>
      </c>
      <c r="B50" s="65"/>
      <c r="C50" s="59" t="s">
        <v>75</v>
      </c>
      <c r="D50" s="60" t="s">
        <v>74</v>
      </c>
      <c r="E50" s="61"/>
      <c r="F50" s="61"/>
      <c r="G50" s="62">
        <f t="shared" si="6"/>
        <v>0</v>
      </c>
      <c r="H50" s="63" t="e">
        <f t="shared" si="7"/>
        <v>#DIV/0!</v>
      </c>
      <c r="I50" s="61">
        <v>0</v>
      </c>
      <c r="J50" s="61"/>
      <c r="K50" s="61"/>
      <c r="L50" s="61">
        <f t="shared" si="5"/>
        <v>0</v>
      </c>
      <c r="M50" s="63" t="e">
        <f t="shared" si="3"/>
        <v>#DIV/0!</v>
      </c>
      <c r="N50" s="61">
        <f t="shared" si="8"/>
        <v>0</v>
      </c>
      <c r="O50" s="63" t="e">
        <f t="shared" si="0"/>
        <v>#DIV/0!</v>
      </c>
      <c r="P50" s="61">
        <f t="shared" si="9"/>
        <v>0</v>
      </c>
      <c r="Q50" s="67"/>
    </row>
    <row r="51" spans="1:17" ht="99.75" customHeight="1" hidden="1" outlineLevel="5">
      <c r="A51" s="64" t="s">
        <v>76</v>
      </c>
      <c r="B51" s="65"/>
      <c r="C51" s="59" t="s">
        <v>77</v>
      </c>
      <c r="D51" s="60" t="s">
        <v>76</v>
      </c>
      <c r="E51" s="61"/>
      <c r="F51" s="61"/>
      <c r="G51" s="62">
        <f t="shared" si="6"/>
        <v>0</v>
      </c>
      <c r="H51" s="63" t="e">
        <f t="shared" si="7"/>
        <v>#DIV/0!</v>
      </c>
      <c r="I51" s="61">
        <v>0</v>
      </c>
      <c r="J51" s="61"/>
      <c r="K51" s="61"/>
      <c r="L51" s="61">
        <f t="shared" si="5"/>
        <v>0</v>
      </c>
      <c r="M51" s="63" t="e">
        <f t="shared" si="3"/>
        <v>#DIV/0!</v>
      </c>
      <c r="N51" s="61">
        <f t="shared" si="8"/>
        <v>0</v>
      </c>
      <c r="O51" s="63" t="e">
        <f t="shared" si="0"/>
        <v>#DIV/0!</v>
      </c>
      <c r="P51" s="61">
        <f t="shared" si="9"/>
        <v>0</v>
      </c>
      <c r="Q51" s="67"/>
    </row>
    <row r="52" spans="1:17" ht="18.75" customHeight="1" outlineLevel="2" collapsed="1">
      <c r="A52" s="64" t="s">
        <v>78</v>
      </c>
      <c r="B52" s="65" t="s">
        <v>79</v>
      </c>
      <c r="C52" s="59" t="s">
        <v>80</v>
      </c>
      <c r="D52" s="60" t="s">
        <v>78</v>
      </c>
      <c r="E52" s="62">
        <v>63052.38</v>
      </c>
      <c r="F52" s="62">
        <v>63055.66</v>
      </c>
      <c r="G52" s="62">
        <f t="shared" si="6"/>
        <v>3.280000000006112</v>
      </c>
      <c r="H52" s="63">
        <f t="shared" si="7"/>
        <v>1.000052020240949</v>
      </c>
      <c r="I52" s="61">
        <v>63000</v>
      </c>
      <c r="J52" s="61"/>
      <c r="K52" s="62">
        <v>17679</v>
      </c>
      <c r="L52" s="61">
        <f t="shared" si="5"/>
        <v>17679</v>
      </c>
      <c r="M52" s="63">
        <f t="shared" si="3"/>
        <v>19207.317073134942</v>
      </c>
      <c r="N52" s="61">
        <f t="shared" si="8"/>
        <v>-45321</v>
      </c>
      <c r="O52" s="63">
        <f t="shared" si="0"/>
        <v>0.2806190476190476</v>
      </c>
      <c r="P52" s="61">
        <f t="shared" si="9"/>
        <v>-45376.66</v>
      </c>
      <c r="Q52" s="67"/>
    </row>
    <row r="53" spans="1:17" ht="15" customHeight="1" hidden="1" outlineLevel="3">
      <c r="A53" s="64" t="s">
        <v>81</v>
      </c>
      <c r="B53" s="65"/>
      <c r="C53" s="59" t="s">
        <v>23</v>
      </c>
      <c r="D53" s="60" t="s">
        <v>81</v>
      </c>
      <c r="E53" s="61"/>
      <c r="F53" s="61"/>
      <c r="G53" s="62">
        <f t="shared" si="6"/>
        <v>0</v>
      </c>
      <c r="H53" s="63" t="e">
        <f t="shared" si="7"/>
        <v>#DIV/0!</v>
      </c>
      <c r="I53" s="61"/>
      <c r="J53" s="61"/>
      <c r="K53" s="61"/>
      <c r="L53" s="61">
        <f t="shared" si="5"/>
        <v>0</v>
      </c>
      <c r="M53" s="63" t="e">
        <f t="shared" si="3"/>
        <v>#DIV/0!</v>
      </c>
      <c r="N53" s="61">
        <f t="shared" si="8"/>
        <v>0</v>
      </c>
      <c r="O53" s="63" t="e">
        <f t="shared" si="0"/>
        <v>#DIV/0!</v>
      </c>
      <c r="P53" s="61">
        <f t="shared" si="9"/>
        <v>0</v>
      </c>
      <c r="Q53" s="68"/>
    </row>
    <row r="54" spans="1:17" ht="42.75" customHeight="1" hidden="1" outlineLevel="4">
      <c r="A54" s="64" t="s">
        <v>82</v>
      </c>
      <c r="B54" s="65"/>
      <c r="C54" s="59" t="s">
        <v>83</v>
      </c>
      <c r="D54" s="60" t="s">
        <v>82</v>
      </c>
      <c r="E54" s="61"/>
      <c r="F54" s="61"/>
      <c r="G54" s="62">
        <f t="shared" si="6"/>
        <v>0</v>
      </c>
      <c r="H54" s="63" t="e">
        <f t="shared" si="7"/>
        <v>#DIV/0!</v>
      </c>
      <c r="I54" s="61"/>
      <c r="J54" s="61"/>
      <c r="K54" s="61"/>
      <c r="L54" s="61">
        <f t="shared" si="5"/>
        <v>0</v>
      </c>
      <c r="M54" s="63" t="e">
        <f t="shared" si="3"/>
        <v>#DIV/0!</v>
      </c>
      <c r="N54" s="61">
        <f t="shared" si="8"/>
        <v>0</v>
      </c>
      <c r="O54" s="63" t="e">
        <f t="shared" si="0"/>
        <v>#DIV/0!</v>
      </c>
      <c r="P54" s="61">
        <f t="shared" si="9"/>
        <v>0</v>
      </c>
      <c r="Q54" s="68"/>
    </row>
    <row r="55" spans="1:17" ht="42.75" customHeight="1" hidden="1" outlineLevel="5">
      <c r="A55" s="64" t="s">
        <v>82</v>
      </c>
      <c r="B55" s="65"/>
      <c r="C55" s="59" t="s">
        <v>84</v>
      </c>
      <c r="D55" s="60" t="s">
        <v>82</v>
      </c>
      <c r="E55" s="61"/>
      <c r="F55" s="61"/>
      <c r="G55" s="62">
        <f t="shared" si="6"/>
        <v>0</v>
      </c>
      <c r="H55" s="63" t="e">
        <f t="shared" si="7"/>
        <v>#DIV/0!</v>
      </c>
      <c r="I55" s="61"/>
      <c r="J55" s="61"/>
      <c r="K55" s="61"/>
      <c r="L55" s="61">
        <f t="shared" si="5"/>
        <v>0</v>
      </c>
      <c r="M55" s="63" t="e">
        <f t="shared" si="3"/>
        <v>#DIV/0!</v>
      </c>
      <c r="N55" s="61">
        <f t="shared" si="8"/>
        <v>0</v>
      </c>
      <c r="O55" s="63" t="e">
        <f t="shared" si="0"/>
        <v>#DIV/0!</v>
      </c>
      <c r="P55" s="61">
        <f t="shared" si="9"/>
        <v>0</v>
      </c>
      <c r="Q55" s="68"/>
    </row>
    <row r="56" spans="1:17" ht="30" customHeight="1" outlineLevel="2" collapsed="1">
      <c r="A56" s="64" t="s">
        <v>85</v>
      </c>
      <c r="B56" s="65" t="s">
        <v>86</v>
      </c>
      <c r="C56" s="59" t="s">
        <v>87</v>
      </c>
      <c r="D56" s="60" t="s">
        <v>85</v>
      </c>
      <c r="E56" s="61">
        <v>12541592.9</v>
      </c>
      <c r="F56" s="61">
        <v>5299457.1</v>
      </c>
      <c r="G56" s="62">
        <f t="shared" si="6"/>
        <v>-7242135.800000001</v>
      </c>
      <c r="H56" s="63">
        <f t="shared" si="7"/>
        <v>0.42255055974588357</v>
      </c>
      <c r="I56" s="61">
        <v>12500000</v>
      </c>
      <c r="J56" s="61">
        <v>562898</v>
      </c>
      <c r="K56" s="61">
        <f>3261748.91-6233.42-35780.35+20986.12</f>
        <v>3240721.2600000002</v>
      </c>
      <c r="L56" s="61">
        <f t="shared" si="5"/>
        <v>2677823.2600000002</v>
      </c>
      <c r="M56" s="63">
        <f t="shared" si="3"/>
        <v>-1.726010164018189</v>
      </c>
      <c r="N56" s="61">
        <f t="shared" si="8"/>
        <v>-9259278.74</v>
      </c>
      <c r="O56" s="63">
        <f t="shared" si="0"/>
        <v>0.25925770080000005</v>
      </c>
      <c r="P56" s="61">
        <f t="shared" si="9"/>
        <v>-2058735.8399999994</v>
      </c>
      <c r="Q56" s="66"/>
    </row>
    <row r="57" spans="1:17" ht="15" customHeight="1" hidden="1" outlineLevel="3">
      <c r="A57" s="64" t="s">
        <v>88</v>
      </c>
      <c r="B57" s="65"/>
      <c r="C57" s="59" t="s">
        <v>23</v>
      </c>
      <c r="D57" s="60" t="s">
        <v>88</v>
      </c>
      <c r="E57" s="61">
        <v>401120</v>
      </c>
      <c r="F57" s="61">
        <v>401120</v>
      </c>
      <c r="G57" s="62"/>
      <c r="H57" s="63" t="e">
        <f>E57/#REF!</f>
        <v>#REF!</v>
      </c>
      <c r="I57" s="61">
        <v>8300000</v>
      </c>
      <c r="J57" s="61"/>
      <c r="K57" s="61">
        <v>401120</v>
      </c>
      <c r="L57" s="61"/>
      <c r="M57" s="63" t="e">
        <f t="shared" si="3"/>
        <v>#DIV/0!</v>
      </c>
      <c r="N57" s="61"/>
      <c r="O57" s="63">
        <f t="shared" si="0"/>
        <v>0.04832771084337349</v>
      </c>
      <c r="P57" s="61" t="e">
        <f>E57-#REF!</f>
        <v>#REF!</v>
      </c>
      <c r="Q57" s="68"/>
    </row>
    <row r="58" spans="1:17" ht="85.5" customHeight="1" hidden="1" outlineLevel="4">
      <c r="A58" s="64" t="s">
        <v>89</v>
      </c>
      <c r="B58" s="65"/>
      <c r="C58" s="59" t="s">
        <v>90</v>
      </c>
      <c r="D58" s="60" t="s">
        <v>89</v>
      </c>
      <c r="E58" s="61">
        <v>0</v>
      </c>
      <c r="F58" s="61">
        <v>401120</v>
      </c>
      <c r="G58" s="62"/>
      <c r="H58" s="63" t="e">
        <f>E58/#REF!</f>
        <v>#REF!</v>
      </c>
      <c r="I58" s="61">
        <v>8300000</v>
      </c>
      <c r="J58" s="61"/>
      <c r="K58" s="61">
        <v>401120</v>
      </c>
      <c r="L58" s="61"/>
      <c r="M58" s="63" t="e">
        <f t="shared" si="3"/>
        <v>#DIV/0!</v>
      </c>
      <c r="N58" s="61"/>
      <c r="O58" s="63">
        <f t="shared" si="0"/>
        <v>0.04832771084337349</v>
      </c>
      <c r="P58" s="61" t="e">
        <f>E58-#REF!</f>
        <v>#REF!</v>
      </c>
      <c r="Q58" s="68"/>
    </row>
    <row r="59" spans="1:17" ht="99.75" customHeight="1" hidden="1" outlineLevel="5">
      <c r="A59" s="64" t="s">
        <v>89</v>
      </c>
      <c r="B59" s="65"/>
      <c r="C59" s="59" t="s">
        <v>91</v>
      </c>
      <c r="D59" s="60" t="s">
        <v>89</v>
      </c>
      <c r="E59" s="61">
        <v>401106.8</v>
      </c>
      <c r="F59" s="61">
        <v>0</v>
      </c>
      <c r="G59" s="62"/>
      <c r="H59" s="63" t="e">
        <f>E59/#REF!</f>
        <v>#REF!</v>
      </c>
      <c r="I59" s="61">
        <v>8300000</v>
      </c>
      <c r="J59" s="61"/>
      <c r="K59" s="61">
        <v>0</v>
      </c>
      <c r="L59" s="61"/>
      <c r="M59" s="63" t="e">
        <f t="shared" si="3"/>
        <v>#DIV/0!</v>
      </c>
      <c r="N59" s="61"/>
      <c r="O59" s="63">
        <f t="shared" si="0"/>
        <v>0</v>
      </c>
      <c r="P59" s="61" t="e">
        <f>E59-#REF!</f>
        <v>#REF!</v>
      </c>
      <c r="Q59" s="68"/>
    </row>
    <row r="60" spans="1:17" ht="99.75" customHeight="1" hidden="1" outlineLevel="5">
      <c r="A60" s="64" t="s">
        <v>92</v>
      </c>
      <c r="B60" s="65"/>
      <c r="C60" s="59" t="s">
        <v>91</v>
      </c>
      <c r="D60" s="60" t="s">
        <v>92</v>
      </c>
      <c r="E60" s="61">
        <v>13.2</v>
      </c>
      <c r="F60" s="61">
        <v>401106.8</v>
      </c>
      <c r="G60" s="62"/>
      <c r="H60" s="63" t="e">
        <f>E60/#REF!</f>
        <v>#REF!</v>
      </c>
      <c r="I60" s="61">
        <v>0</v>
      </c>
      <c r="J60" s="61"/>
      <c r="K60" s="61">
        <v>401106.8</v>
      </c>
      <c r="L60" s="61"/>
      <c r="M60" s="63" t="e">
        <f t="shared" si="3"/>
        <v>#DIV/0!</v>
      </c>
      <c r="N60" s="61"/>
      <c r="O60" s="63" t="e">
        <f t="shared" si="0"/>
        <v>#DIV/0!</v>
      </c>
      <c r="P60" s="61" t="e">
        <f>E60-#REF!</f>
        <v>#REF!</v>
      </c>
      <c r="Q60" s="68"/>
    </row>
    <row r="61" spans="1:17" ht="99.75" customHeight="1" hidden="1" outlineLevel="5">
      <c r="A61" s="64" t="s">
        <v>93</v>
      </c>
      <c r="B61" s="65"/>
      <c r="C61" s="59" t="s">
        <v>91</v>
      </c>
      <c r="D61" s="60" t="s">
        <v>93</v>
      </c>
      <c r="E61" s="51">
        <f>E62+E63+E64</f>
        <v>172244710.82</v>
      </c>
      <c r="F61" s="61">
        <v>13.2</v>
      </c>
      <c r="G61" s="62"/>
      <c r="H61" s="63" t="e">
        <f>E61/#REF!</f>
        <v>#REF!</v>
      </c>
      <c r="I61" s="61">
        <v>0</v>
      </c>
      <c r="J61" s="61"/>
      <c r="K61" s="61">
        <v>13.2</v>
      </c>
      <c r="L61" s="61"/>
      <c r="M61" s="63" t="e">
        <f t="shared" si="3"/>
        <v>#DIV/0!</v>
      </c>
      <c r="N61" s="61"/>
      <c r="O61" s="63" t="e">
        <f t="shared" si="0"/>
        <v>#DIV/0!</v>
      </c>
      <c r="P61" s="61" t="e">
        <f>E61-#REF!</f>
        <v>#REF!</v>
      </c>
      <c r="Q61" s="68"/>
    </row>
    <row r="62" spans="1:17" s="32" customFormat="1" ht="22.5" customHeight="1" outlineLevel="1" collapsed="1">
      <c r="A62" s="24" t="s">
        <v>94</v>
      </c>
      <c r="B62" s="48" t="s">
        <v>95</v>
      </c>
      <c r="C62" s="49" t="s">
        <v>96</v>
      </c>
      <c r="D62" s="50" t="s">
        <v>94</v>
      </c>
      <c r="E62" s="51">
        <f>E63+E64+E65</f>
        <v>95317580.9</v>
      </c>
      <c r="F62" s="51">
        <f>F63+F64+F65</f>
        <v>30004449.56</v>
      </c>
      <c r="G62" s="58">
        <f>F62-E62</f>
        <v>-65313131.34</v>
      </c>
      <c r="H62" s="54">
        <f aca="true" t="shared" si="10" ref="H62:H72">F62/E62</f>
        <v>0.3147840018252078</v>
      </c>
      <c r="I62" s="51">
        <f>I63+I64+I65</f>
        <v>75916097.63</v>
      </c>
      <c r="J62" s="51">
        <f>J63+J64+J65</f>
        <v>3543302</v>
      </c>
      <c r="K62" s="51">
        <f>K63+K64+K65</f>
        <v>15624137.1</v>
      </c>
      <c r="L62" s="51">
        <f>K62-J62</f>
        <v>12080835.1</v>
      </c>
      <c r="M62" s="54">
        <f t="shared" si="3"/>
        <v>-1.1623404983418146</v>
      </c>
      <c r="N62" s="51">
        <f>N63+N64+N65</f>
        <v>-60291960.53</v>
      </c>
      <c r="O62" s="54">
        <f t="shared" si="0"/>
        <v>0.20580795888836312</v>
      </c>
      <c r="P62" s="51">
        <f aca="true" t="shared" si="11" ref="P62:P72">K62-F62</f>
        <v>-14380312.459999999</v>
      </c>
      <c r="Q62" s="149" t="s">
        <v>267</v>
      </c>
    </row>
    <row r="63" spans="1:17" ht="28.5" outlineLevel="2">
      <c r="A63" s="64" t="s">
        <v>97</v>
      </c>
      <c r="B63" s="65" t="s">
        <v>98</v>
      </c>
      <c r="C63" s="59" t="s">
        <v>99</v>
      </c>
      <c r="D63" s="60" t="s">
        <v>97</v>
      </c>
      <c r="E63" s="61">
        <v>14947482.35</v>
      </c>
      <c r="F63" s="61">
        <v>1282769.72</v>
      </c>
      <c r="G63" s="62">
        <f>F63-E63</f>
        <v>-13664712.629999999</v>
      </c>
      <c r="H63" s="63">
        <f t="shared" si="10"/>
        <v>0.08581844687710904</v>
      </c>
      <c r="I63" s="61">
        <v>11900000</v>
      </c>
      <c r="J63" s="61">
        <v>80000</v>
      </c>
      <c r="K63" s="61">
        <f>1402793.66+1400+26906.16+2710.46</f>
        <v>1433810.2799999998</v>
      </c>
      <c r="L63" s="61">
        <f>K63-J63</f>
        <v>1353810.2799999998</v>
      </c>
      <c r="M63" s="63">
        <f t="shared" si="3"/>
        <v>-0.8708562208527031</v>
      </c>
      <c r="N63" s="61">
        <f>K63-I63</f>
        <v>-10466189.72</v>
      </c>
      <c r="O63" s="63">
        <f t="shared" si="0"/>
        <v>0.1204882588235294</v>
      </c>
      <c r="P63" s="61">
        <f t="shared" si="11"/>
        <v>151040.55999999982</v>
      </c>
      <c r="Q63" s="66"/>
    </row>
    <row r="64" spans="1:17" ht="42" customHeight="1" outlineLevel="4">
      <c r="A64" s="64" t="s">
        <v>100</v>
      </c>
      <c r="B64" s="65" t="s">
        <v>101</v>
      </c>
      <c r="C64" s="59" t="s">
        <v>102</v>
      </c>
      <c r="D64" s="60" t="s">
        <v>100</v>
      </c>
      <c r="E64" s="61">
        <v>61979647.57</v>
      </c>
      <c r="F64" s="61">
        <v>27665183.85</v>
      </c>
      <c r="G64" s="62">
        <f>F64-E64</f>
        <v>-34314463.72</v>
      </c>
      <c r="H64" s="63">
        <f t="shared" si="10"/>
        <v>0.4463591668338362</v>
      </c>
      <c r="I64" s="61">
        <v>47016097.63</v>
      </c>
      <c r="J64" s="61">
        <v>3011857</v>
      </c>
      <c r="K64" s="61">
        <f>6050092.95+5797887.86+473228.98</f>
        <v>12321209.790000001</v>
      </c>
      <c r="L64" s="61">
        <f>K64-J64</f>
        <v>9309352.790000001</v>
      </c>
      <c r="M64" s="63">
        <f t="shared" si="3"/>
        <v>-1.3701539389816233</v>
      </c>
      <c r="N64" s="61">
        <f>K64-I64</f>
        <v>-34694887.84</v>
      </c>
      <c r="O64" s="63">
        <f t="shared" si="0"/>
        <v>0.2620636422649014</v>
      </c>
      <c r="P64" s="61">
        <f t="shared" si="11"/>
        <v>-15343974.06</v>
      </c>
      <c r="Q64" s="66"/>
    </row>
    <row r="65" spans="1:17" ht="56.25" customHeight="1" outlineLevel="4">
      <c r="A65" s="64" t="s">
        <v>103</v>
      </c>
      <c r="B65" s="65" t="s">
        <v>104</v>
      </c>
      <c r="C65" s="59" t="s">
        <v>105</v>
      </c>
      <c r="D65" s="60" t="s">
        <v>103</v>
      </c>
      <c r="E65" s="61">
        <v>18390450.98</v>
      </c>
      <c r="F65" s="61">
        <v>1056495.99</v>
      </c>
      <c r="G65" s="62">
        <f>F65-E65</f>
        <v>-17333954.990000002</v>
      </c>
      <c r="H65" s="63">
        <f t="shared" si="10"/>
        <v>0.05744807406566383</v>
      </c>
      <c r="I65" s="61">
        <v>17000000</v>
      </c>
      <c r="J65" s="61">
        <v>451445</v>
      </c>
      <c r="K65" s="61">
        <f>1834144.92+462+31169.11+3341</f>
        <v>1869117.03</v>
      </c>
      <c r="L65" s="61">
        <f>K65-J65</f>
        <v>1417672.03</v>
      </c>
      <c r="M65" s="63">
        <f t="shared" si="3"/>
        <v>-0.9807340569308816</v>
      </c>
      <c r="N65" s="61">
        <f>K65-I65</f>
        <v>-15130882.97</v>
      </c>
      <c r="O65" s="63">
        <f t="shared" si="0"/>
        <v>0.1099480605882353</v>
      </c>
      <c r="P65" s="61">
        <f t="shared" si="11"/>
        <v>812621.04</v>
      </c>
      <c r="Q65" s="66"/>
    </row>
    <row r="66" spans="1:17" s="32" customFormat="1" ht="32.25" customHeight="1" outlineLevel="1">
      <c r="A66" s="24" t="s">
        <v>106</v>
      </c>
      <c r="B66" s="48" t="s">
        <v>107</v>
      </c>
      <c r="C66" s="49" t="s">
        <v>108</v>
      </c>
      <c r="D66" s="50" t="s">
        <v>106</v>
      </c>
      <c r="E66" s="51">
        <f>E67+E72</f>
        <v>10536108.33</v>
      </c>
      <c r="F66" s="51">
        <f>F67+F72</f>
        <v>3520857.36</v>
      </c>
      <c r="G66" s="58">
        <f>G67+G72</f>
        <v>-7015250.970000001</v>
      </c>
      <c r="H66" s="54">
        <f t="shared" si="10"/>
        <v>0.3341705732063216</v>
      </c>
      <c r="I66" s="51">
        <f>I67+I72</f>
        <v>11535000</v>
      </c>
      <c r="J66" s="51">
        <f>J67+J72</f>
        <v>605206</v>
      </c>
      <c r="K66" s="51">
        <f>K67+K72</f>
        <v>3262711.3100000005</v>
      </c>
      <c r="L66" s="51">
        <f>K66-J66</f>
        <v>2657505.3100000005</v>
      </c>
      <c r="M66" s="54">
        <f t="shared" si="3"/>
        <v>-1.644274745027404</v>
      </c>
      <c r="N66" s="51">
        <f>N67+N72</f>
        <v>-8272288.6899999995</v>
      </c>
      <c r="O66" s="54">
        <f t="shared" si="0"/>
        <v>0.28285316948417866</v>
      </c>
      <c r="P66" s="51">
        <f t="shared" si="11"/>
        <v>-258146.04999999935</v>
      </c>
      <c r="Q66" s="56"/>
    </row>
    <row r="67" spans="1:17" ht="91.5" customHeight="1" outlineLevel="2">
      <c r="A67" s="64" t="s">
        <v>109</v>
      </c>
      <c r="B67" s="65" t="s">
        <v>110</v>
      </c>
      <c r="C67" s="59" t="s">
        <v>111</v>
      </c>
      <c r="D67" s="60" t="s">
        <v>109</v>
      </c>
      <c r="E67" s="61">
        <v>10431108.33</v>
      </c>
      <c r="F67" s="61">
        <v>3490857.36</v>
      </c>
      <c r="G67" s="62">
        <f aca="true" t="shared" si="12" ref="G67:G72">F67-E67</f>
        <v>-6940250.970000001</v>
      </c>
      <c r="H67" s="63">
        <f t="shared" si="10"/>
        <v>0.3346583363495756</v>
      </c>
      <c r="I67" s="61">
        <v>11500000</v>
      </c>
      <c r="J67" s="61">
        <v>605206</v>
      </c>
      <c r="K67" s="61">
        <f>3160101.37+24585.7+44853.75+33170.49</f>
        <v>3262711.3100000005</v>
      </c>
      <c r="L67" s="61">
        <f>K67-J67</f>
        <v>2657505.3100000005</v>
      </c>
      <c r="M67" s="63">
        <f t="shared" si="3"/>
        <v>-1.6570005969106905</v>
      </c>
      <c r="N67" s="61">
        <f aca="true" t="shared" si="13" ref="N67:N72">K67-I67</f>
        <v>-8237288.6899999995</v>
      </c>
      <c r="O67" s="63">
        <f t="shared" si="0"/>
        <v>0.28371402695652176</v>
      </c>
      <c r="P67" s="61">
        <f t="shared" si="11"/>
        <v>-228146.04999999935</v>
      </c>
      <c r="Q67" s="67"/>
    </row>
    <row r="68" spans="1:17" ht="15" customHeight="1" hidden="1" outlineLevel="3">
      <c r="A68" s="64" t="s">
        <v>112</v>
      </c>
      <c r="B68" s="65"/>
      <c r="C68" s="59" t="s">
        <v>23</v>
      </c>
      <c r="D68" s="60" t="s">
        <v>112</v>
      </c>
      <c r="E68" s="61"/>
      <c r="F68" s="61"/>
      <c r="G68" s="62">
        <f t="shared" si="12"/>
        <v>0</v>
      </c>
      <c r="H68" s="63" t="e">
        <f t="shared" si="10"/>
        <v>#DIV/0!</v>
      </c>
      <c r="I68" s="61"/>
      <c r="J68" s="61"/>
      <c r="K68" s="61"/>
      <c r="L68" s="61">
        <f>I68-G68</f>
        <v>0</v>
      </c>
      <c r="M68" s="63" t="e">
        <f t="shared" si="3"/>
        <v>#DIV/0!</v>
      </c>
      <c r="N68" s="61">
        <f t="shared" si="13"/>
        <v>0</v>
      </c>
      <c r="O68" s="63" t="e">
        <f t="shared" si="0"/>
        <v>#DIV/0!</v>
      </c>
      <c r="P68" s="61">
        <f t="shared" si="11"/>
        <v>0</v>
      </c>
      <c r="Q68" s="68"/>
    </row>
    <row r="69" spans="1:17" ht="114" customHeight="1" hidden="1" outlineLevel="4">
      <c r="A69" s="64" t="s">
        <v>113</v>
      </c>
      <c r="B69" s="65"/>
      <c r="C69" s="59" t="s">
        <v>114</v>
      </c>
      <c r="D69" s="60" t="s">
        <v>113</v>
      </c>
      <c r="E69" s="61"/>
      <c r="F69" s="61"/>
      <c r="G69" s="62">
        <f t="shared" si="12"/>
        <v>0</v>
      </c>
      <c r="H69" s="63" t="e">
        <f t="shared" si="10"/>
        <v>#DIV/0!</v>
      </c>
      <c r="I69" s="61"/>
      <c r="J69" s="61"/>
      <c r="K69" s="61"/>
      <c r="L69" s="61">
        <f>I69-G69</f>
        <v>0</v>
      </c>
      <c r="M69" s="63" t="e">
        <f t="shared" si="3"/>
        <v>#DIV/0!</v>
      </c>
      <c r="N69" s="61">
        <f t="shared" si="13"/>
        <v>0</v>
      </c>
      <c r="O69" s="63" t="e">
        <f t="shared" si="0"/>
        <v>#DIV/0!</v>
      </c>
      <c r="P69" s="61">
        <f t="shared" si="11"/>
        <v>0</v>
      </c>
      <c r="Q69" s="68"/>
    </row>
    <row r="70" spans="1:17" ht="128.25" customHeight="1" hidden="1" outlineLevel="5">
      <c r="A70" s="64" t="s">
        <v>113</v>
      </c>
      <c r="B70" s="65"/>
      <c r="C70" s="59" t="s">
        <v>115</v>
      </c>
      <c r="D70" s="60" t="s">
        <v>113</v>
      </c>
      <c r="E70" s="61"/>
      <c r="F70" s="61"/>
      <c r="G70" s="62">
        <f t="shared" si="12"/>
        <v>0</v>
      </c>
      <c r="H70" s="63" t="e">
        <f t="shared" si="10"/>
        <v>#DIV/0!</v>
      </c>
      <c r="I70" s="61"/>
      <c r="J70" s="61"/>
      <c r="K70" s="61"/>
      <c r="L70" s="61">
        <f>I70-G70</f>
        <v>0</v>
      </c>
      <c r="M70" s="63" t="e">
        <f t="shared" si="3"/>
        <v>#DIV/0!</v>
      </c>
      <c r="N70" s="61">
        <f t="shared" si="13"/>
        <v>0</v>
      </c>
      <c r="O70" s="63" t="e">
        <f t="shared" si="0"/>
        <v>#DIV/0!</v>
      </c>
      <c r="P70" s="61">
        <f t="shared" si="11"/>
        <v>0</v>
      </c>
      <c r="Q70" s="68"/>
    </row>
    <row r="71" spans="1:17" ht="171" customHeight="1" hidden="1" outlineLevel="5">
      <c r="A71" s="64" t="s">
        <v>116</v>
      </c>
      <c r="B71" s="65"/>
      <c r="C71" s="59" t="s">
        <v>117</v>
      </c>
      <c r="D71" s="60" t="s">
        <v>116</v>
      </c>
      <c r="E71" s="61"/>
      <c r="F71" s="61"/>
      <c r="G71" s="62">
        <f t="shared" si="12"/>
        <v>0</v>
      </c>
      <c r="H71" s="63" t="e">
        <f t="shared" si="10"/>
        <v>#DIV/0!</v>
      </c>
      <c r="I71" s="61"/>
      <c r="J71" s="61"/>
      <c r="K71" s="61"/>
      <c r="L71" s="61">
        <f>I71-G71</f>
        <v>0</v>
      </c>
      <c r="M71" s="63" t="e">
        <f t="shared" si="3"/>
        <v>#DIV/0!</v>
      </c>
      <c r="N71" s="61">
        <f t="shared" si="13"/>
        <v>0</v>
      </c>
      <c r="O71" s="63" t="e">
        <f t="shared" si="0"/>
        <v>#DIV/0!</v>
      </c>
      <c r="P71" s="61">
        <f t="shared" si="11"/>
        <v>0</v>
      </c>
      <c r="Q71" s="68"/>
    </row>
    <row r="72" spans="1:17" ht="78.75" customHeight="1" outlineLevel="2" collapsed="1">
      <c r="A72" s="64" t="s">
        <v>118</v>
      </c>
      <c r="B72" s="65" t="s">
        <v>119</v>
      </c>
      <c r="C72" s="59" t="s">
        <v>120</v>
      </c>
      <c r="D72" s="60" t="s">
        <v>118</v>
      </c>
      <c r="E72" s="62">
        <v>105000</v>
      </c>
      <c r="F72" s="62">
        <v>30000</v>
      </c>
      <c r="G72" s="62">
        <f t="shared" si="12"/>
        <v>-75000</v>
      </c>
      <c r="H72" s="63">
        <f t="shared" si="10"/>
        <v>0.2857142857142857</v>
      </c>
      <c r="I72" s="61">
        <v>35000</v>
      </c>
      <c r="J72" s="61"/>
      <c r="K72" s="62"/>
      <c r="L72" s="61">
        <f>K72-J72</f>
        <v>0</v>
      </c>
      <c r="M72" s="63">
        <f t="shared" si="3"/>
        <v>-0.4666666666666667</v>
      </c>
      <c r="N72" s="61">
        <f t="shared" si="13"/>
        <v>-35000</v>
      </c>
      <c r="O72" s="63">
        <f t="shared" si="0"/>
        <v>0</v>
      </c>
      <c r="P72" s="61">
        <f t="shared" si="11"/>
        <v>-30000</v>
      </c>
      <c r="Q72" s="66"/>
    </row>
    <row r="73" spans="1:17" ht="15" customHeight="1" hidden="1" outlineLevel="3">
      <c r="A73" s="64" t="s">
        <v>121</v>
      </c>
      <c r="B73" s="65"/>
      <c r="C73" s="59" t="s">
        <v>23</v>
      </c>
      <c r="D73" s="60" t="s">
        <v>121</v>
      </c>
      <c r="E73" s="61">
        <v>0</v>
      </c>
      <c r="F73" s="61">
        <v>0</v>
      </c>
      <c r="G73" s="62"/>
      <c r="H73" s="63" t="e">
        <f>E73/#REF!</f>
        <v>#REF!</v>
      </c>
      <c r="I73" s="61">
        <v>60000</v>
      </c>
      <c r="J73" s="61"/>
      <c r="K73" s="61">
        <v>0</v>
      </c>
      <c r="L73" s="61"/>
      <c r="M73" s="63" t="e">
        <f t="shared" si="3"/>
        <v>#DIV/0!</v>
      </c>
      <c r="N73" s="61"/>
      <c r="O73" s="63">
        <f t="shared" si="0"/>
        <v>0</v>
      </c>
      <c r="P73" s="61" t="e">
        <f>E73-#REF!</f>
        <v>#REF!</v>
      </c>
      <c r="Q73" s="68"/>
    </row>
    <row r="74" spans="1:17" ht="57" customHeight="1" hidden="1" outlineLevel="4">
      <c r="A74" s="64" t="s">
        <v>122</v>
      </c>
      <c r="B74" s="65"/>
      <c r="C74" s="59" t="s">
        <v>123</v>
      </c>
      <c r="D74" s="60" t="s">
        <v>122</v>
      </c>
      <c r="E74" s="61">
        <v>0</v>
      </c>
      <c r="F74" s="61">
        <v>0</v>
      </c>
      <c r="G74" s="62"/>
      <c r="H74" s="63" t="e">
        <f>E74/#REF!</f>
        <v>#REF!</v>
      </c>
      <c r="I74" s="61">
        <v>60000</v>
      </c>
      <c r="J74" s="61"/>
      <c r="K74" s="61">
        <v>0</v>
      </c>
      <c r="L74" s="61"/>
      <c r="M74" s="63" t="e">
        <f t="shared" si="3"/>
        <v>#DIV/0!</v>
      </c>
      <c r="N74" s="61"/>
      <c r="O74" s="63">
        <f t="shared" si="0"/>
        <v>0</v>
      </c>
      <c r="P74" s="61" t="e">
        <f>E74-#REF!</f>
        <v>#REF!</v>
      </c>
      <c r="Q74" s="68"/>
    </row>
    <row r="75" spans="1:17" ht="71.25" customHeight="1" hidden="1" outlineLevel="5">
      <c r="A75" s="64" t="s">
        <v>122</v>
      </c>
      <c r="B75" s="65"/>
      <c r="C75" s="59" t="s">
        <v>124</v>
      </c>
      <c r="D75" s="60" t="s">
        <v>122</v>
      </c>
      <c r="E75" s="51">
        <v>-23389.69</v>
      </c>
      <c r="F75" s="61">
        <v>0</v>
      </c>
      <c r="G75" s="62"/>
      <c r="H75" s="63" t="e">
        <f>E75/#REF!</f>
        <v>#REF!</v>
      </c>
      <c r="I75" s="61">
        <v>60000</v>
      </c>
      <c r="J75" s="61"/>
      <c r="K75" s="61">
        <v>0</v>
      </c>
      <c r="L75" s="61"/>
      <c r="M75" s="63" t="e">
        <f t="shared" si="3"/>
        <v>#DIV/0!</v>
      </c>
      <c r="N75" s="61"/>
      <c r="O75" s="63">
        <f t="shared" si="0"/>
        <v>0</v>
      </c>
      <c r="P75" s="61" t="e">
        <f>E75-#REF!</f>
        <v>#REF!</v>
      </c>
      <c r="Q75" s="68"/>
    </row>
    <row r="76" spans="1:17" s="32" customFormat="1" ht="83.25" customHeight="1" outlineLevel="1" collapsed="1">
      <c r="A76" s="24" t="s">
        <v>125</v>
      </c>
      <c r="B76" s="48" t="s">
        <v>126</v>
      </c>
      <c r="C76" s="49" t="s">
        <v>127</v>
      </c>
      <c r="D76" s="50" t="s">
        <v>125</v>
      </c>
      <c r="E76" s="51">
        <v>-23389.69</v>
      </c>
      <c r="F76" s="51">
        <v>3014.2</v>
      </c>
      <c r="G76" s="58">
        <f>F76-E76</f>
        <v>26403.89</v>
      </c>
      <c r="H76" s="54">
        <f>F76/E76</f>
        <v>-0.12886874516079522</v>
      </c>
      <c r="I76" s="51"/>
      <c r="J76" s="51"/>
      <c r="K76" s="51">
        <v>942.29</v>
      </c>
      <c r="L76" s="51">
        <f>K76-J76</f>
        <v>942.29</v>
      </c>
      <c r="M76" s="54"/>
      <c r="N76" s="51"/>
      <c r="O76" s="54"/>
      <c r="P76" s="51">
        <f>K76-F76</f>
        <v>-2071.91</v>
      </c>
      <c r="Q76" s="56"/>
    </row>
    <row r="77" spans="1:17" s="32" customFormat="1" ht="15.75" customHeight="1" hidden="1" outlineLevel="3">
      <c r="A77" s="24" t="s">
        <v>128</v>
      </c>
      <c r="B77" s="48"/>
      <c r="C77" s="49" t="s">
        <v>23</v>
      </c>
      <c r="D77" s="50" t="s">
        <v>128</v>
      </c>
      <c r="E77" s="51">
        <v>78.92</v>
      </c>
      <c r="F77" s="51">
        <v>78.92</v>
      </c>
      <c r="G77" s="58"/>
      <c r="H77" s="54" t="e">
        <f>E77/#REF!</f>
        <v>#REF!</v>
      </c>
      <c r="I77" s="51">
        <v>0</v>
      </c>
      <c r="J77" s="51"/>
      <c r="K77" s="51">
        <v>78.92</v>
      </c>
      <c r="L77" s="51"/>
      <c r="M77" s="54" t="e">
        <f>I77/G77</f>
        <v>#DIV/0!</v>
      </c>
      <c r="N77" s="51"/>
      <c r="O77" s="54" t="e">
        <f t="shared" si="0"/>
        <v>#DIV/0!</v>
      </c>
      <c r="P77" s="51" t="e">
        <f>E77-#REF!</f>
        <v>#REF!</v>
      </c>
      <c r="Q77" s="69"/>
    </row>
    <row r="78" spans="1:17" s="32" customFormat="1" ht="180" customHeight="1" hidden="1" outlineLevel="4">
      <c r="A78" s="24" t="s">
        <v>129</v>
      </c>
      <c r="B78" s="48"/>
      <c r="C78" s="49" t="s">
        <v>130</v>
      </c>
      <c r="D78" s="50" t="s">
        <v>129</v>
      </c>
      <c r="E78" s="51">
        <v>78.92</v>
      </c>
      <c r="F78" s="51">
        <v>78.92</v>
      </c>
      <c r="G78" s="58"/>
      <c r="H78" s="54" t="e">
        <f>E78/#REF!</f>
        <v>#REF!</v>
      </c>
      <c r="I78" s="51">
        <v>0</v>
      </c>
      <c r="J78" s="51"/>
      <c r="K78" s="51">
        <v>78.92</v>
      </c>
      <c r="L78" s="51"/>
      <c r="M78" s="54" t="e">
        <f>I78/G78</f>
        <v>#DIV/0!</v>
      </c>
      <c r="N78" s="51"/>
      <c r="O78" s="54" t="e">
        <f t="shared" si="0"/>
        <v>#DIV/0!</v>
      </c>
      <c r="P78" s="51" t="e">
        <f>E78-#REF!</f>
        <v>#REF!</v>
      </c>
      <c r="Q78" s="69"/>
    </row>
    <row r="79" spans="1:17" s="32" customFormat="1" ht="180" customHeight="1" hidden="1" outlineLevel="5">
      <c r="A79" s="24" t="s">
        <v>131</v>
      </c>
      <c r="B79" s="48"/>
      <c r="C79" s="49" t="s">
        <v>132</v>
      </c>
      <c r="D79" s="50" t="s">
        <v>131</v>
      </c>
      <c r="E79" s="72">
        <f>E80+E89+E105+E108+E111+E112</f>
        <v>106887173.90000002</v>
      </c>
      <c r="F79" s="51">
        <v>78.92</v>
      </c>
      <c r="G79" s="58"/>
      <c r="H79" s="54" t="e">
        <f>E79/#REF!</f>
        <v>#REF!</v>
      </c>
      <c r="I79" s="51">
        <v>0</v>
      </c>
      <c r="J79" s="51"/>
      <c r="K79" s="51">
        <v>78.92</v>
      </c>
      <c r="L79" s="51"/>
      <c r="M79" s="54" t="e">
        <f>I79/G79</f>
        <v>#DIV/0!</v>
      </c>
      <c r="N79" s="51"/>
      <c r="O79" s="54" t="e">
        <f>K79/I79</f>
        <v>#DIV/0!</v>
      </c>
      <c r="P79" s="51" t="e">
        <f>E79-#REF!</f>
        <v>#REF!</v>
      </c>
      <c r="Q79" s="69"/>
    </row>
    <row r="80" spans="1:17" s="32" customFormat="1" ht="39" customHeight="1" outlineLevel="5">
      <c r="A80" s="24"/>
      <c r="B80" s="48" t="s">
        <v>133</v>
      </c>
      <c r="C80" s="70" t="s">
        <v>134</v>
      </c>
      <c r="D80" s="71"/>
      <c r="E80" s="72">
        <f>E81+E90+E106+E109+E112+E113</f>
        <v>73494552.89</v>
      </c>
      <c r="F80" s="72">
        <f>F81+F90+F106+F109+F112+F113</f>
        <v>21993436.36</v>
      </c>
      <c r="G80" s="72">
        <f>G81+G90+G106+G109+G112+G113</f>
        <v>-51406480.38999999</v>
      </c>
      <c r="H80" s="72">
        <f>F80/E80</f>
        <v>0.2992526043789638</v>
      </c>
      <c r="I80" s="72">
        <f>I81+I90+I106+I109+I112+I113</f>
        <v>61350184.11</v>
      </c>
      <c r="J80" s="72">
        <f>J81+J90+J106+J109+J112+J113</f>
        <v>2230316.48</v>
      </c>
      <c r="K80" s="72">
        <f>K81+K90+K106+K109+K112+K113</f>
        <v>47757581.35000001</v>
      </c>
      <c r="L80" s="72">
        <f>K80-J80</f>
        <v>45527264.87000001</v>
      </c>
      <c r="M80" s="72" t="e">
        <f>M81+M90+M106+M109+M112+M113</f>
        <v>#DIV/0!</v>
      </c>
      <c r="N80" s="72">
        <f>N81+N90+N106+N109+N112+N113</f>
        <v>-13592602.759999994</v>
      </c>
      <c r="O80" s="156">
        <f aca="true" t="shared" si="14" ref="O80:O127">K80/I80</f>
        <v>0.7784423476932254</v>
      </c>
      <c r="P80" s="72">
        <f>K80-F80</f>
        <v>25764144.99000001</v>
      </c>
      <c r="Q80" s="56"/>
    </row>
    <row r="81" spans="1:17" s="32" customFormat="1" ht="72" customHeight="1" outlineLevel="1">
      <c r="A81" s="24" t="s">
        <v>135</v>
      </c>
      <c r="B81" s="48" t="s">
        <v>136</v>
      </c>
      <c r="C81" s="49" t="s">
        <v>137</v>
      </c>
      <c r="D81" s="50" t="s">
        <v>135</v>
      </c>
      <c r="E81" s="51">
        <f>E82+E83+E84+E85+E89</f>
        <v>37416244.75</v>
      </c>
      <c r="F81" s="51">
        <f>F82+F83+F84+F85+F89</f>
        <v>10036377.35</v>
      </c>
      <c r="G81" s="58">
        <f>G82+G83+G85+G89</f>
        <v>-27350627.259999998</v>
      </c>
      <c r="H81" s="54">
        <f>F81/E81</f>
        <v>0.26823582689975856</v>
      </c>
      <c r="I81" s="51">
        <f>I82+I83+I84+I85+I89</f>
        <v>26290475.19</v>
      </c>
      <c r="J81" s="51">
        <f>J82+J83+J84+J85+J89</f>
        <v>859800</v>
      </c>
      <c r="K81" s="51">
        <f>K82+K83+K84+K85+K89</f>
        <v>8662948.620000001</v>
      </c>
      <c r="L81" s="51">
        <f>K81-J81</f>
        <v>7803148.620000001</v>
      </c>
      <c r="M81" s="54">
        <f>I81/G81</f>
        <v>-0.9612384732561341</v>
      </c>
      <c r="N81" s="51">
        <f>N82+N83+N84+N85+N89</f>
        <v>-17627526.57</v>
      </c>
      <c r="O81" s="54">
        <f t="shared" si="14"/>
        <v>0.32950901637925095</v>
      </c>
      <c r="P81" s="51">
        <f>K81-F81</f>
        <v>-1373428.7299999986</v>
      </c>
      <c r="Q81" s="56"/>
    </row>
    <row r="82" spans="1:17" ht="66.75" customHeight="1" outlineLevel="4">
      <c r="A82" s="64" t="s">
        <v>138</v>
      </c>
      <c r="B82" s="65" t="s">
        <v>139</v>
      </c>
      <c r="C82" s="59" t="s">
        <v>140</v>
      </c>
      <c r="D82" s="60" t="s">
        <v>138</v>
      </c>
      <c r="E82" s="61">
        <v>24363527.29</v>
      </c>
      <c r="F82" s="61">
        <v>4787239.41</v>
      </c>
      <c r="G82" s="62">
        <f>F82-E82</f>
        <v>-19576287.88</v>
      </c>
      <c r="H82" s="63">
        <f>F82/E82</f>
        <v>0.19649204948927576</v>
      </c>
      <c r="I82" s="61">
        <v>15000000</v>
      </c>
      <c r="J82" s="61">
        <v>350000</v>
      </c>
      <c r="K82" s="61">
        <f>4116186.7+264361.92+6513.27</f>
        <v>4387061.89</v>
      </c>
      <c r="L82" s="61">
        <f>K82-J82</f>
        <v>4037061.8899999997</v>
      </c>
      <c r="M82" s="63">
        <f>I82/G82</f>
        <v>-0.7662331128326256</v>
      </c>
      <c r="N82" s="61">
        <f>K82-I82</f>
        <v>-10612938.11</v>
      </c>
      <c r="O82" s="63">
        <f t="shared" si="14"/>
        <v>0.29247079266666665</v>
      </c>
      <c r="P82" s="61">
        <f>K82-F82</f>
        <v>-400177.5200000005</v>
      </c>
      <c r="Q82" s="66" t="s">
        <v>268</v>
      </c>
    </row>
    <row r="83" spans="1:17" ht="61.5" customHeight="1" outlineLevel="4">
      <c r="A83" s="64" t="s">
        <v>141</v>
      </c>
      <c r="B83" s="65" t="s">
        <v>142</v>
      </c>
      <c r="C83" s="59" t="s">
        <v>143</v>
      </c>
      <c r="D83" s="60" t="s">
        <v>141</v>
      </c>
      <c r="E83" s="61">
        <v>977974.72</v>
      </c>
      <c r="F83" s="61">
        <v>316570.81</v>
      </c>
      <c r="G83" s="62">
        <f aca="true" t="shared" si="15" ref="G83:G89">F83-E83</f>
        <v>-661403.9099999999</v>
      </c>
      <c r="H83" s="63">
        <f aca="true" t="shared" si="16" ref="H83:H89">F83/E83</f>
        <v>0.323700401989941</v>
      </c>
      <c r="I83" s="61">
        <v>987235.05</v>
      </c>
      <c r="J83" s="61">
        <v>109800</v>
      </c>
      <c r="K83" s="61">
        <v>361646.44</v>
      </c>
      <c r="L83" s="61">
        <f aca="true" t="shared" si="17" ref="L83:L89">K83-J83</f>
        <v>251846.44</v>
      </c>
      <c r="M83" s="63">
        <f>I83/G83</f>
        <v>-1.4926356422658587</v>
      </c>
      <c r="N83" s="61">
        <f aca="true" t="shared" si="18" ref="N83:N89">K83-I83</f>
        <v>-625588.6100000001</v>
      </c>
      <c r="O83" s="63">
        <f t="shared" si="14"/>
        <v>0.36632252876354016</v>
      </c>
      <c r="P83" s="61">
        <f aca="true" t="shared" si="19" ref="P83:P89">K83-F83</f>
        <v>45075.630000000005</v>
      </c>
      <c r="Q83" s="66"/>
    </row>
    <row r="84" spans="1:17" ht="108" customHeight="1" outlineLevel="4">
      <c r="A84" s="64"/>
      <c r="B84" s="65" t="s">
        <v>144</v>
      </c>
      <c r="C84" s="59" t="s">
        <v>145</v>
      </c>
      <c r="D84" s="60" t="s">
        <v>146</v>
      </c>
      <c r="E84" s="61">
        <v>58480.28</v>
      </c>
      <c r="F84" s="61">
        <v>29240.14</v>
      </c>
      <c r="G84" s="62">
        <f t="shared" si="15"/>
        <v>-29240.14</v>
      </c>
      <c r="H84" s="63">
        <f t="shared" si="16"/>
        <v>0.5</v>
      </c>
      <c r="I84" s="61">
        <v>29240.14</v>
      </c>
      <c r="J84" s="61"/>
      <c r="K84" s="61">
        <v>27691.96</v>
      </c>
      <c r="L84" s="61">
        <f t="shared" si="17"/>
        <v>27691.96</v>
      </c>
      <c r="M84" s="63"/>
      <c r="N84" s="61">
        <f t="shared" si="18"/>
        <v>-1548.1800000000003</v>
      </c>
      <c r="O84" s="63"/>
      <c r="P84" s="61"/>
      <c r="Q84" s="73" t="s">
        <v>147</v>
      </c>
    </row>
    <row r="85" spans="1:17" ht="38.25" customHeight="1" outlineLevel="2">
      <c r="A85" s="64" t="s">
        <v>148</v>
      </c>
      <c r="B85" s="65" t="s">
        <v>149</v>
      </c>
      <c r="C85" s="59" t="s">
        <v>150</v>
      </c>
      <c r="D85" s="60" t="s">
        <v>148</v>
      </c>
      <c r="E85" s="62">
        <v>5843542.64</v>
      </c>
      <c r="F85" s="62">
        <v>2796000</v>
      </c>
      <c r="G85" s="62">
        <f t="shared" si="15"/>
        <v>-3047542.6399999997</v>
      </c>
      <c r="H85" s="63">
        <f t="shared" si="16"/>
        <v>0.47847687135213585</v>
      </c>
      <c r="I85" s="61">
        <v>4966000</v>
      </c>
      <c r="J85" s="61"/>
      <c r="K85" s="62">
        <v>2072500</v>
      </c>
      <c r="L85" s="61">
        <f t="shared" si="17"/>
        <v>2072500</v>
      </c>
      <c r="M85" s="63">
        <f aca="true" t="shared" si="20" ref="M85:M112">I85/G85</f>
        <v>-1.6295096038426555</v>
      </c>
      <c r="N85" s="61">
        <f t="shared" si="18"/>
        <v>-2893500</v>
      </c>
      <c r="O85" s="63">
        <f t="shared" si="14"/>
        <v>0.41733789770438984</v>
      </c>
      <c r="P85" s="61">
        <f t="shared" si="19"/>
        <v>-723500</v>
      </c>
      <c r="Q85" s="66" t="s">
        <v>257</v>
      </c>
    </row>
    <row r="86" spans="1:17" ht="15" customHeight="1" hidden="1" outlineLevel="3">
      <c r="A86" s="64" t="s">
        <v>151</v>
      </c>
      <c r="B86" s="65"/>
      <c r="C86" s="59" t="s">
        <v>23</v>
      </c>
      <c r="D86" s="60" t="s">
        <v>151</v>
      </c>
      <c r="E86" s="61"/>
      <c r="F86" s="61"/>
      <c r="G86" s="62">
        <f t="shared" si="15"/>
        <v>0</v>
      </c>
      <c r="H86" s="63" t="e">
        <f t="shared" si="16"/>
        <v>#DIV/0!</v>
      </c>
      <c r="I86" s="61"/>
      <c r="J86" s="61"/>
      <c r="K86" s="61"/>
      <c r="L86" s="61">
        <f t="shared" si="17"/>
        <v>0</v>
      </c>
      <c r="M86" s="63" t="e">
        <f t="shared" si="20"/>
        <v>#DIV/0!</v>
      </c>
      <c r="N86" s="61">
        <f t="shared" si="18"/>
        <v>0</v>
      </c>
      <c r="O86" s="63" t="e">
        <f t="shared" si="14"/>
        <v>#DIV/0!</v>
      </c>
      <c r="P86" s="61">
        <f t="shared" si="19"/>
        <v>0</v>
      </c>
      <c r="Q86" s="68"/>
    </row>
    <row r="87" spans="1:17" ht="128.25" customHeight="1" hidden="1" outlineLevel="4">
      <c r="A87" s="64" t="s">
        <v>152</v>
      </c>
      <c r="B87" s="65"/>
      <c r="C87" s="59" t="s">
        <v>153</v>
      </c>
      <c r="D87" s="60" t="s">
        <v>152</v>
      </c>
      <c r="E87" s="61"/>
      <c r="F87" s="61"/>
      <c r="G87" s="62">
        <f t="shared" si="15"/>
        <v>0</v>
      </c>
      <c r="H87" s="63" t="e">
        <f t="shared" si="16"/>
        <v>#DIV/0!</v>
      </c>
      <c r="I87" s="61"/>
      <c r="J87" s="61"/>
      <c r="K87" s="61"/>
      <c r="L87" s="61">
        <f t="shared" si="17"/>
        <v>0</v>
      </c>
      <c r="M87" s="63" t="e">
        <f t="shared" si="20"/>
        <v>#DIV/0!</v>
      </c>
      <c r="N87" s="61">
        <f t="shared" si="18"/>
        <v>0</v>
      </c>
      <c r="O87" s="63" t="e">
        <f t="shared" si="14"/>
        <v>#DIV/0!</v>
      </c>
      <c r="P87" s="61">
        <f t="shared" si="19"/>
        <v>0</v>
      </c>
      <c r="Q87" s="68"/>
    </row>
    <row r="88" spans="1:17" ht="128.25" customHeight="1" hidden="1" outlineLevel="5">
      <c r="A88" s="64" t="s">
        <v>152</v>
      </c>
      <c r="B88" s="65"/>
      <c r="C88" s="59" t="s">
        <v>154</v>
      </c>
      <c r="D88" s="60" t="s">
        <v>152</v>
      </c>
      <c r="E88" s="61"/>
      <c r="F88" s="61"/>
      <c r="G88" s="62">
        <f t="shared" si="15"/>
        <v>0</v>
      </c>
      <c r="H88" s="63" t="e">
        <f t="shared" si="16"/>
        <v>#DIV/0!</v>
      </c>
      <c r="I88" s="61"/>
      <c r="J88" s="61"/>
      <c r="K88" s="61"/>
      <c r="L88" s="61">
        <f t="shared" si="17"/>
        <v>0</v>
      </c>
      <c r="M88" s="63" t="e">
        <f t="shared" si="20"/>
        <v>#DIV/0!</v>
      </c>
      <c r="N88" s="61">
        <f t="shared" si="18"/>
        <v>0</v>
      </c>
      <c r="O88" s="63" t="e">
        <f t="shared" si="14"/>
        <v>#DIV/0!</v>
      </c>
      <c r="P88" s="61">
        <f t="shared" si="19"/>
        <v>0</v>
      </c>
      <c r="Q88" s="68"/>
    </row>
    <row r="89" spans="1:17" ht="69.75" customHeight="1" outlineLevel="2" collapsed="1">
      <c r="A89" s="64" t="s">
        <v>155</v>
      </c>
      <c r="B89" s="65" t="s">
        <v>156</v>
      </c>
      <c r="C89" s="59" t="s">
        <v>157</v>
      </c>
      <c r="D89" s="60" t="s">
        <v>155</v>
      </c>
      <c r="E89" s="61">
        <v>6172719.82</v>
      </c>
      <c r="F89" s="61">
        <v>2107326.99</v>
      </c>
      <c r="G89" s="62">
        <f t="shared" si="15"/>
        <v>-4065392.83</v>
      </c>
      <c r="H89" s="63">
        <f t="shared" si="16"/>
        <v>0.34139359171497274</v>
      </c>
      <c r="I89" s="61">
        <v>5308000</v>
      </c>
      <c r="J89" s="61">
        <v>400000</v>
      </c>
      <c r="K89" s="61">
        <f>1814040.33+8</f>
        <v>1814048.33</v>
      </c>
      <c r="L89" s="61">
        <f t="shared" si="17"/>
        <v>1414048.33</v>
      </c>
      <c r="M89" s="63">
        <f t="shared" si="20"/>
        <v>-1.3056548830485344</v>
      </c>
      <c r="N89" s="61">
        <f t="shared" si="18"/>
        <v>-3493951.67</v>
      </c>
      <c r="O89" s="63">
        <f t="shared" si="14"/>
        <v>0.3417574095704597</v>
      </c>
      <c r="P89" s="61">
        <f t="shared" si="19"/>
        <v>-293278.66000000015</v>
      </c>
      <c r="Q89" s="66"/>
    </row>
    <row r="90" spans="1:17" s="32" customFormat="1" ht="98.25" customHeight="1" outlineLevel="1">
      <c r="A90" s="24" t="s">
        <v>158</v>
      </c>
      <c r="B90" s="48" t="s">
        <v>159</v>
      </c>
      <c r="C90" s="49" t="s">
        <v>160</v>
      </c>
      <c r="D90" s="50" t="s">
        <v>158</v>
      </c>
      <c r="E90" s="51">
        <v>485335.25</v>
      </c>
      <c r="F90" s="51">
        <v>200111.45</v>
      </c>
      <c r="G90" s="58">
        <f>F90-E90</f>
        <v>-285223.8</v>
      </c>
      <c r="H90" s="54">
        <f>F90/E90</f>
        <v>0.41231591976886084</v>
      </c>
      <c r="I90" s="51">
        <v>231800</v>
      </c>
      <c r="J90" s="51">
        <v>0</v>
      </c>
      <c r="K90" s="51">
        <v>63226.38</v>
      </c>
      <c r="L90" s="51">
        <f>K90-J90</f>
        <v>63226.38</v>
      </c>
      <c r="M90" s="54">
        <f t="shared" si="20"/>
        <v>-0.8126951537704779</v>
      </c>
      <c r="N90" s="51">
        <f>K90-I90</f>
        <v>-168573.62</v>
      </c>
      <c r="O90" s="54">
        <f t="shared" si="14"/>
        <v>0.2727626402070751</v>
      </c>
      <c r="P90" s="51">
        <f>K90-F90</f>
        <v>-136885.07</v>
      </c>
      <c r="Q90" s="74"/>
    </row>
    <row r="91" spans="1:17" s="32" customFormat="1" ht="15.75" customHeight="1" hidden="1" outlineLevel="3">
      <c r="A91" s="24" t="s">
        <v>161</v>
      </c>
      <c r="B91" s="48"/>
      <c r="C91" s="49" t="s">
        <v>23</v>
      </c>
      <c r="D91" s="50" t="s">
        <v>161</v>
      </c>
      <c r="E91" s="51">
        <v>2890.68</v>
      </c>
      <c r="F91" s="51">
        <v>2890.68</v>
      </c>
      <c r="G91" s="58"/>
      <c r="H91" s="54">
        <f aca="true" t="shared" si="21" ref="H91:H130">F91/E91</f>
        <v>1</v>
      </c>
      <c r="I91" s="51">
        <v>33800</v>
      </c>
      <c r="J91" s="51"/>
      <c r="K91" s="51">
        <v>2890.68</v>
      </c>
      <c r="L91" s="51">
        <f aca="true" t="shared" si="22" ref="L91:L120">K91-J91</f>
        <v>2890.68</v>
      </c>
      <c r="M91" s="54" t="e">
        <f t="shared" si="20"/>
        <v>#DIV/0!</v>
      </c>
      <c r="N91" s="51">
        <f aca="true" t="shared" si="23" ref="N91:N106">K91-I91</f>
        <v>-30909.32</v>
      </c>
      <c r="O91" s="54">
        <f t="shared" si="14"/>
        <v>0.08552307692307692</v>
      </c>
      <c r="P91" s="51">
        <f aca="true" t="shared" si="24" ref="P91:P130">K91-F91</f>
        <v>0</v>
      </c>
      <c r="Q91" s="69"/>
    </row>
    <row r="92" spans="1:17" s="32" customFormat="1" ht="90" customHeight="1" hidden="1" outlineLevel="4">
      <c r="A92" s="24" t="s">
        <v>162</v>
      </c>
      <c r="B92" s="48"/>
      <c r="C92" s="49" t="s">
        <v>163</v>
      </c>
      <c r="D92" s="50" t="s">
        <v>162</v>
      </c>
      <c r="E92" s="51">
        <v>0</v>
      </c>
      <c r="F92" s="51">
        <v>2890.68</v>
      </c>
      <c r="G92" s="58"/>
      <c r="H92" s="54" t="e">
        <f t="shared" si="21"/>
        <v>#DIV/0!</v>
      </c>
      <c r="I92" s="51">
        <v>33800</v>
      </c>
      <c r="J92" s="51"/>
      <c r="K92" s="51">
        <v>2890.68</v>
      </c>
      <c r="L92" s="51">
        <f t="shared" si="22"/>
        <v>2890.68</v>
      </c>
      <c r="M92" s="54" t="e">
        <f t="shared" si="20"/>
        <v>#DIV/0!</v>
      </c>
      <c r="N92" s="51">
        <f t="shared" si="23"/>
        <v>-30909.32</v>
      </c>
      <c r="O92" s="54">
        <f t="shared" si="14"/>
        <v>0.08552307692307692</v>
      </c>
      <c r="P92" s="51">
        <f t="shared" si="24"/>
        <v>0</v>
      </c>
      <c r="Q92" s="69"/>
    </row>
    <row r="93" spans="1:17" s="32" customFormat="1" ht="90" customHeight="1" hidden="1" outlineLevel="5">
      <c r="A93" s="24" t="s">
        <v>162</v>
      </c>
      <c r="B93" s="48"/>
      <c r="C93" s="49" t="s">
        <v>164</v>
      </c>
      <c r="D93" s="50" t="s">
        <v>162</v>
      </c>
      <c r="E93" s="51">
        <v>2890.68</v>
      </c>
      <c r="F93" s="51">
        <v>0</v>
      </c>
      <c r="G93" s="58"/>
      <c r="H93" s="54">
        <f t="shared" si="21"/>
        <v>0</v>
      </c>
      <c r="I93" s="51">
        <v>33800</v>
      </c>
      <c r="J93" s="51"/>
      <c r="K93" s="51">
        <v>0</v>
      </c>
      <c r="L93" s="51">
        <f t="shared" si="22"/>
        <v>0</v>
      </c>
      <c r="M93" s="54" t="e">
        <f t="shared" si="20"/>
        <v>#DIV/0!</v>
      </c>
      <c r="N93" s="51">
        <f t="shared" si="23"/>
        <v>-33800</v>
      </c>
      <c r="O93" s="54">
        <f t="shared" si="14"/>
        <v>0</v>
      </c>
      <c r="P93" s="51">
        <f t="shared" si="24"/>
        <v>0</v>
      </c>
      <c r="Q93" s="69"/>
    </row>
    <row r="94" spans="1:17" s="32" customFormat="1" ht="90" customHeight="1" hidden="1" outlineLevel="5">
      <c r="A94" s="24" t="s">
        <v>165</v>
      </c>
      <c r="B94" s="48"/>
      <c r="C94" s="49" t="s">
        <v>164</v>
      </c>
      <c r="D94" s="50" t="s">
        <v>165</v>
      </c>
      <c r="E94" s="51">
        <v>53.23</v>
      </c>
      <c r="F94" s="51">
        <v>2890.68</v>
      </c>
      <c r="G94" s="58"/>
      <c r="H94" s="54">
        <f t="shared" si="21"/>
        <v>54.30546684200639</v>
      </c>
      <c r="I94" s="51">
        <v>0</v>
      </c>
      <c r="J94" s="51"/>
      <c r="K94" s="51">
        <v>2890.68</v>
      </c>
      <c r="L94" s="51">
        <f t="shared" si="22"/>
        <v>2890.68</v>
      </c>
      <c r="M94" s="54" t="e">
        <f t="shared" si="20"/>
        <v>#DIV/0!</v>
      </c>
      <c r="N94" s="51">
        <f t="shared" si="23"/>
        <v>2890.68</v>
      </c>
      <c r="O94" s="54" t="e">
        <f t="shared" si="14"/>
        <v>#DIV/0!</v>
      </c>
      <c r="P94" s="51">
        <f t="shared" si="24"/>
        <v>0</v>
      </c>
      <c r="Q94" s="69"/>
    </row>
    <row r="95" spans="1:17" s="32" customFormat="1" ht="15.75" customHeight="1" hidden="1" outlineLevel="3">
      <c r="A95" s="24" t="s">
        <v>166</v>
      </c>
      <c r="B95" s="48"/>
      <c r="C95" s="49" t="s">
        <v>23</v>
      </c>
      <c r="D95" s="50" t="s">
        <v>166</v>
      </c>
      <c r="E95" s="51">
        <v>53.23</v>
      </c>
      <c r="F95" s="51">
        <v>53.23</v>
      </c>
      <c r="G95" s="58"/>
      <c r="H95" s="54">
        <f t="shared" si="21"/>
        <v>1</v>
      </c>
      <c r="I95" s="51">
        <v>0</v>
      </c>
      <c r="J95" s="51"/>
      <c r="K95" s="51">
        <v>53.23</v>
      </c>
      <c r="L95" s="51">
        <f t="shared" si="22"/>
        <v>53.23</v>
      </c>
      <c r="M95" s="54" t="e">
        <f t="shared" si="20"/>
        <v>#DIV/0!</v>
      </c>
      <c r="N95" s="51">
        <f t="shared" si="23"/>
        <v>53.23</v>
      </c>
      <c r="O95" s="54" t="e">
        <f t="shared" si="14"/>
        <v>#DIV/0!</v>
      </c>
      <c r="P95" s="51">
        <f t="shared" si="24"/>
        <v>0</v>
      </c>
      <c r="Q95" s="69"/>
    </row>
    <row r="96" spans="1:17" s="32" customFormat="1" ht="90" customHeight="1" hidden="1" outlineLevel="4">
      <c r="A96" s="24" t="s">
        <v>167</v>
      </c>
      <c r="B96" s="48"/>
      <c r="C96" s="49" t="s">
        <v>168</v>
      </c>
      <c r="D96" s="50" t="s">
        <v>167</v>
      </c>
      <c r="E96" s="51">
        <v>53.23</v>
      </c>
      <c r="F96" s="51">
        <v>53.23</v>
      </c>
      <c r="G96" s="58"/>
      <c r="H96" s="54">
        <f t="shared" si="21"/>
        <v>1</v>
      </c>
      <c r="I96" s="51">
        <v>0</v>
      </c>
      <c r="J96" s="51"/>
      <c r="K96" s="51">
        <v>53.23</v>
      </c>
      <c r="L96" s="51">
        <f t="shared" si="22"/>
        <v>53.23</v>
      </c>
      <c r="M96" s="54" t="e">
        <f t="shared" si="20"/>
        <v>#DIV/0!</v>
      </c>
      <c r="N96" s="51">
        <f t="shared" si="23"/>
        <v>53.23</v>
      </c>
      <c r="O96" s="54" t="e">
        <f t="shared" si="14"/>
        <v>#DIV/0!</v>
      </c>
      <c r="P96" s="51">
        <f t="shared" si="24"/>
        <v>0</v>
      </c>
      <c r="Q96" s="69"/>
    </row>
    <row r="97" spans="1:17" s="32" customFormat="1" ht="90" customHeight="1" hidden="1" outlineLevel="5">
      <c r="A97" s="24" t="s">
        <v>169</v>
      </c>
      <c r="B97" s="48"/>
      <c r="C97" s="49" t="s">
        <v>170</v>
      </c>
      <c r="D97" s="50" t="s">
        <v>169</v>
      </c>
      <c r="E97" s="51">
        <v>481.81</v>
      </c>
      <c r="F97" s="51">
        <v>53.23</v>
      </c>
      <c r="G97" s="58"/>
      <c r="H97" s="54">
        <f t="shared" si="21"/>
        <v>0.11047923455303957</v>
      </c>
      <c r="I97" s="51">
        <v>0</v>
      </c>
      <c r="J97" s="51"/>
      <c r="K97" s="51">
        <v>53.23</v>
      </c>
      <c r="L97" s="51">
        <f t="shared" si="22"/>
        <v>53.23</v>
      </c>
      <c r="M97" s="54" t="e">
        <f t="shared" si="20"/>
        <v>#DIV/0!</v>
      </c>
      <c r="N97" s="51">
        <f t="shared" si="23"/>
        <v>53.23</v>
      </c>
      <c r="O97" s="54" t="e">
        <f t="shared" si="14"/>
        <v>#DIV/0!</v>
      </c>
      <c r="P97" s="51">
        <f t="shared" si="24"/>
        <v>0</v>
      </c>
      <c r="Q97" s="69"/>
    </row>
    <row r="98" spans="1:17" s="32" customFormat="1" ht="15.75" customHeight="1" hidden="1" outlineLevel="3">
      <c r="A98" s="24" t="s">
        <v>171</v>
      </c>
      <c r="B98" s="48"/>
      <c r="C98" s="49" t="s">
        <v>23</v>
      </c>
      <c r="D98" s="50" t="s">
        <v>171</v>
      </c>
      <c r="E98" s="51">
        <v>481.81</v>
      </c>
      <c r="F98" s="51">
        <v>481.81</v>
      </c>
      <c r="G98" s="58"/>
      <c r="H98" s="54">
        <f t="shared" si="21"/>
        <v>1</v>
      </c>
      <c r="I98" s="51">
        <v>59400</v>
      </c>
      <c r="J98" s="51"/>
      <c r="K98" s="51">
        <v>481.81</v>
      </c>
      <c r="L98" s="51">
        <f t="shared" si="22"/>
        <v>481.81</v>
      </c>
      <c r="M98" s="54" t="e">
        <f t="shared" si="20"/>
        <v>#DIV/0!</v>
      </c>
      <c r="N98" s="51">
        <f t="shared" si="23"/>
        <v>-58918.19</v>
      </c>
      <c r="O98" s="54">
        <f t="shared" si="14"/>
        <v>0.008111279461279462</v>
      </c>
      <c r="P98" s="51">
        <f t="shared" si="24"/>
        <v>0</v>
      </c>
      <c r="Q98" s="69"/>
    </row>
    <row r="99" spans="1:17" s="32" customFormat="1" ht="45" customHeight="1" hidden="1" outlineLevel="4">
      <c r="A99" s="24" t="s">
        <v>172</v>
      </c>
      <c r="B99" s="48"/>
      <c r="C99" s="49" t="s">
        <v>173</v>
      </c>
      <c r="D99" s="50" t="s">
        <v>172</v>
      </c>
      <c r="E99" s="51">
        <v>0</v>
      </c>
      <c r="F99" s="51">
        <v>481.81</v>
      </c>
      <c r="G99" s="58"/>
      <c r="H99" s="54" t="e">
        <f t="shared" si="21"/>
        <v>#DIV/0!</v>
      </c>
      <c r="I99" s="51">
        <v>59400</v>
      </c>
      <c r="J99" s="51"/>
      <c r="K99" s="51">
        <v>481.81</v>
      </c>
      <c r="L99" s="51">
        <f t="shared" si="22"/>
        <v>481.81</v>
      </c>
      <c r="M99" s="54" t="e">
        <f t="shared" si="20"/>
        <v>#DIV/0!</v>
      </c>
      <c r="N99" s="51">
        <f t="shared" si="23"/>
        <v>-58918.19</v>
      </c>
      <c r="O99" s="54">
        <f t="shared" si="14"/>
        <v>0.008111279461279462</v>
      </c>
      <c r="P99" s="51">
        <f t="shared" si="24"/>
        <v>0</v>
      </c>
      <c r="Q99" s="69"/>
    </row>
    <row r="100" spans="1:17" s="32" customFormat="1" ht="60" customHeight="1" hidden="1" outlineLevel="5">
      <c r="A100" s="24" t="s">
        <v>172</v>
      </c>
      <c r="B100" s="48"/>
      <c r="C100" s="49" t="s">
        <v>174</v>
      </c>
      <c r="D100" s="50" t="s">
        <v>172</v>
      </c>
      <c r="E100" s="51">
        <v>481.81</v>
      </c>
      <c r="F100" s="51">
        <v>0</v>
      </c>
      <c r="G100" s="58"/>
      <c r="H100" s="54">
        <f t="shared" si="21"/>
        <v>0</v>
      </c>
      <c r="I100" s="51">
        <v>59400</v>
      </c>
      <c r="J100" s="51"/>
      <c r="K100" s="51">
        <v>0</v>
      </c>
      <c r="L100" s="51">
        <f t="shared" si="22"/>
        <v>0</v>
      </c>
      <c r="M100" s="54" t="e">
        <f t="shared" si="20"/>
        <v>#DIV/0!</v>
      </c>
      <c r="N100" s="51">
        <f t="shared" si="23"/>
        <v>-59400</v>
      </c>
      <c r="O100" s="54">
        <f t="shared" si="14"/>
        <v>0</v>
      </c>
      <c r="P100" s="51">
        <f t="shared" si="24"/>
        <v>0</v>
      </c>
      <c r="Q100" s="69"/>
    </row>
    <row r="101" spans="1:17" s="32" customFormat="1" ht="60" customHeight="1" hidden="1" outlineLevel="5">
      <c r="A101" s="24" t="s">
        <v>175</v>
      </c>
      <c r="B101" s="48"/>
      <c r="C101" s="49" t="s">
        <v>176</v>
      </c>
      <c r="D101" s="50" t="s">
        <v>175</v>
      </c>
      <c r="E101" s="51">
        <v>39261.54</v>
      </c>
      <c r="F101" s="51">
        <v>481.81</v>
      </c>
      <c r="G101" s="58"/>
      <c r="H101" s="54">
        <f t="shared" si="21"/>
        <v>0.01227180594546215</v>
      </c>
      <c r="I101" s="51">
        <v>0</v>
      </c>
      <c r="J101" s="51"/>
      <c r="K101" s="51">
        <v>481.81</v>
      </c>
      <c r="L101" s="51">
        <f t="shared" si="22"/>
        <v>481.81</v>
      </c>
      <c r="M101" s="54" t="e">
        <f t="shared" si="20"/>
        <v>#DIV/0!</v>
      </c>
      <c r="N101" s="51">
        <f t="shared" si="23"/>
        <v>481.81</v>
      </c>
      <c r="O101" s="54" t="e">
        <f t="shared" si="14"/>
        <v>#DIV/0!</v>
      </c>
      <c r="P101" s="51">
        <f t="shared" si="24"/>
        <v>0</v>
      </c>
      <c r="Q101" s="69"/>
    </row>
    <row r="102" spans="1:17" s="32" customFormat="1" ht="15.75" customHeight="1" hidden="1" outlineLevel="3">
      <c r="A102" s="24" t="s">
        <v>177</v>
      </c>
      <c r="B102" s="48"/>
      <c r="C102" s="49" t="s">
        <v>23</v>
      </c>
      <c r="D102" s="50" t="s">
        <v>177</v>
      </c>
      <c r="E102" s="51">
        <v>39261.54</v>
      </c>
      <c r="F102" s="51">
        <v>39261.54</v>
      </c>
      <c r="G102" s="58"/>
      <c r="H102" s="54">
        <f t="shared" si="21"/>
        <v>1</v>
      </c>
      <c r="I102" s="51">
        <v>464900</v>
      </c>
      <c r="J102" s="51"/>
      <c r="K102" s="51">
        <v>39261.54</v>
      </c>
      <c r="L102" s="51">
        <f t="shared" si="22"/>
        <v>39261.54</v>
      </c>
      <c r="M102" s="54" t="e">
        <f t="shared" si="20"/>
        <v>#DIV/0!</v>
      </c>
      <c r="N102" s="51">
        <f t="shared" si="23"/>
        <v>-425638.46</v>
      </c>
      <c r="O102" s="54">
        <f t="shared" si="14"/>
        <v>0.0844515809851581</v>
      </c>
      <c r="P102" s="51">
        <f t="shared" si="24"/>
        <v>0</v>
      </c>
      <c r="Q102" s="69"/>
    </row>
    <row r="103" spans="1:17" s="32" customFormat="1" ht="60" customHeight="1" hidden="1" outlineLevel="4">
      <c r="A103" s="24" t="s">
        <v>178</v>
      </c>
      <c r="B103" s="48"/>
      <c r="C103" s="49" t="s">
        <v>179</v>
      </c>
      <c r="D103" s="50" t="s">
        <v>178</v>
      </c>
      <c r="E103" s="51">
        <v>0</v>
      </c>
      <c r="F103" s="51">
        <v>39261.54</v>
      </c>
      <c r="G103" s="58"/>
      <c r="H103" s="54" t="e">
        <f t="shared" si="21"/>
        <v>#DIV/0!</v>
      </c>
      <c r="I103" s="51">
        <v>464900</v>
      </c>
      <c r="J103" s="51"/>
      <c r="K103" s="51">
        <v>39261.54</v>
      </c>
      <c r="L103" s="51">
        <f t="shared" si="22"/>
        <v>39261.54</v>
      </c>
      <c r="M103" s="54" t="e">
        <f t="shared" si="20"/>
        <v>#DIV/0!</v>
      </c>
      <c r="N103" s="51">
        <f t="shared" si="23"/>
        <v>-425638.46</v>
      </c>
      <c r="O103" s="54">
        <f t="shared" si="14"/>
        <v>0.0844515809851581</v>
      </c>
      <c r="P103" s="51">
        <f t="shared" si="24"/>
        <v>0</v>
      </c>
      <c r="Q103" s="69"/>
    </row>
    <row r="104" spans="1:17" s="32" customFormat="1" ht="60" customHeight="1" hidden="1" outlineLevel="5">
      <c r="A104" s="24" t="s">
        <v>178</v>
      </c>
      <c r="B104" s="48"/>
      <c r="C104" s="49" t="s">
        <v>180</v>
      </c>
      <c r="D104" s="50" t="s">
        <v>178</v>
      </c>
      <c r="E104" s="51">
        <v>39261.54</v>
      </c>
      <c r="F104" s="51">
        <v>0</v>
      </c>
      <c r="G104" s="58"/>
      <c r="H104" s="54">
        <f t="shared" si="21"/>
        <v>0</v>
      </c>
      <c r="I104" s="51">
        <v>464900</v>
      </c>
      <c r="J104" s="51"/>
      <c r="K104" s="51">
        <v>0</v>
      </c>
      <c r="L104" s="51">
        <f t="shared" si="22"/>
        <v>0</v>
      </c>
      <c r="M104" s="54" t="e">
        <f t="shared" si="20"/>
        <v>#DIV/0!</v>
      </c>
      <c r="N104" s="51">
        <f t="shared" si="23"/>
        <v>-464900</v>
      </c>
      <c r="O104" s="54">
        <f t="shared" si="14"/>
        <v>0</v>
      </c>
      <c r="P104" s="51">
        <f t="shared" si="24"/>
        <v>0</v>
      </c>
      <c r="Q104" s="69"/>
    </row>
    <row r="105" spans="1:17" s="32" customFormat="1" ht="60" customHeight="1" hidden="1" outlineLevel="5">
      <c r="A105" s="24" t="s">
        <v>181</v>
      </c>
      <c r="B105" s="48"/>
      <c r="C105" s="49" t="s">
        <v>182</v>
      </c>
      <c r="D105" s="50" t="s">
        <v>181</v>
      </c>
      <c r="E105" s="51">
        <f>E106+E107</f>
        <v>10003098.77</v>
      </c>
      <c r="F105" s="51">
        <v>39261.54</v>
      </c>
      <c r="G105" s="58"/>
      <c r="H105" s="54">
        <f t="shared" si="21"/>
        <v>0.003924937752064204</v>
      </c>
      <c r="I105" s="51">
        <v>0</v>
      </c>
      <c r="J105" s="51"/>
      <c r="K105" s="51">
        <v>39261.54</v>
      </c>
      <c r="L105" s="51">
        <f t="shared" si="22"/>
        <v>39261.54</v>
      </c>
      <c r="M105" s="54" t="e">
        <f t="shared" si="20"/>
        <v>#DIV/0!</v>
      </c>
      <c r="N105" s="51">
        <f t="shared" si="23"/>
        <v>39261.54</v>
      </c>
      <c r="O105" s="54" t="e">
        <f t="shared" si="14"/>
        <v>#DIV/0!</v>
      </c>
      <c r="P105" s="51">
        <f t="shared" si="24"/>
        <v>0</v>
      </c>
      <c r="Q105" s="69"/>
    </row>
    <row r="106" spans="1:17" s="32" customFormat="1" ht="78.75" customHeight="1" outlineLevel="1" collapsed="1">
      <c r="A106" s="24" t="s">
        <v>183</v>
      </c>
      <c r="B106" s="48" t="s">
        <v>184</v>
      </c>
      <c r="C106" s="49" t="s">
        <v>185</v>
      </c>
      <c r="D106" s="50" t="s">
        <v>183</v>
      </c>
      <c r="E106" s="51">
        <f>E107+E108</f>
        <v>6949209.46</v>
      </c>
      <c r="F106" s="51">
        <f>F107+F108</f>
        <v>1051336.56</v>
      </c>
      <c r="G106" s="58">
        <f>G107+G108</f>
        <v>-5897872.9</v>
      </c>
      <c r="H106" s="54">
        <f t="shared" si="21"/>
        <v>0.15128865607685973</v>
      </c>
      <c r="I106" s="51">
        <f>I107+I108</f>
        <v>3385096.2</v>
      </c>
      <c r="J106" s="51">
        <f>J107+J108</f>
        <v>217229</v>
      </c>
      <c r="K106" s="51">
        <f>K107+K108</f>
        <v>967003.59</v>
      </c>
      <c r="L106" s="51">
        <f t="shared" si="22"/>
        <v>749774.59</v>
      </c>
      <c r="M106" s="54">
        <f t="shared" si="20"/>
        <v>-0.5739520429475514</v>
      </c>
      <c r="N106" s="51">
        <f t="shared" si="23"/>
        <v>-2418092.6100000003</v>
      </c>
      <c r="O106" s="54">
        <f t="shared" si="14"/>
        <v>0.2856650248226328</v>
      </c>
      <c r="P106" s="51">
        <f t="shared" si="24"/>
        <v>-84332.97000000009</v>
      </c>
      <c r="Q106" s="56"/>
    </row>
    <row r="107" spans="1:17" ht="62.25" customHeight="1" outlineLevel="2">
      <c r="A107" s="64" t="s">
        <v>186</v>
      </c>
      <c r="B107" s="65" t="s">
        <v>187</v>
      </c>
      <c r="C107" s="59" t="s">
        <v>188</v>
      </c>
      <c r="D107" s="60" t="s">
        <v>186</v>
      </c>
      <c r="E107" s="61">
        <v>3053889.31</v>
      </c>
      <c r="F107" s="61">
        <v>1036482.56</v>
      </c>
      <c r="G107" s="62">
        <f>F107-E107</f>
        <v>-2017406.75</v>
      </c>
      <c r="H107" s="63">
        <f t="shared" si="21"/>
        <v>0.33939755334485255</v>
      </c>
      <c r="I107" s="61">
        <v>3335156.7</v>
      </c>
      <c r="J107" s="61">
        <v>217229</v>
      </c>
      <c r="K107" s="61">
        <v>934950.59</v>
      </c>
      <c r="L107" s="61">
        <f t="shared" si="22"/>
        <v>717721.59</v>
      </c>
      <c r="M107" s="63">
        <f t="shared" si="20"/>
        <v>-1.6531900173328955</v>
      </c>
      <c r="N107" s="61">
        <f>K107-I107</f>
        <v>-2400206.1100000003</v>
      </c>
      <c r="O107" s="63">
        <f t="shared" si="14"/>
        <v>0.28033183268420336</v>
      </c>
      <c r="P107" s="61">
        <f t="shared" si="24"/>
        <v>-101531.97000000009</v>
      </c>
      <c r="Q107" s="74"/>
    </row>
    <row r="108" spans="1:17" ht="35.25" customHeight="1" outlineLevel="3">
      <c r="A108" s="64" t="s">
        <v>189</v>
      </c>
      <c r="B108" s="65" t="s">
        <v>190</v>
      </c>
      <c r="C108" s="59" t="s">
        <v>191</v>
      </c>
      <c r="D108" s="60" t="s">
        <v>192</v>
      </c>
      <c r="E108" s="62">
        <v>3895320.15</v>
      </c>
      <c r="F108" s="62">
        <v>14854</v>
      </c>
      <c r="G108" s="62">
        <f>F108-E108</f>
        <v>-3880466.15</v>
      </c>
      <c r="H108" s="63">
        <f t="shared" si="21"/>
        <v>0.0038132937545582745</v>
      </c>
      <c r="I108" s="61">
        <v>49939.5</v>
      </c>
      <c r="J108" s="61"/>
      <c r="K108" s="62">
        <v>32053</v>
      </c>
      <c r="L108" s="61">
        <f t="shared" si="22"/>
        <v>32053</v>
      </c>
      <c r="M108" s="63">
        <f t="shared" si="20"/>
        <v>-0.012869458995280761</v>
      </c>
      <c r="N108" s="61">
        <f>K108-I108</f>
        <v>-17886.5</v>
      </c>
      <c r="O108" s="63">
        <f t="shared" si="14"/>
        <v>0.6418366223129988</v>
      </c>
      <c r="P108" s="61">
        <f t="shared" si="24"/>
        <v>17199</v>
      </c>
      <c r="Q108" s="66"/>
    </row>
    <row r="109" spans="1:17" s="32" customFormat="1" ht="75" customHeight="1" outlineLevel="1">
      <c r="A109" s="24" t="s">
        <v>193</v>
      </c>
      <c r="B109" s="48" t="s">
        <v>194</v>
      </c>
      <c r="C109" s="49" t="s">
        <v>195</v>
      </c>
      <c r="D109" s="50" t="s">
        <v>193</v>
      </c>
      <c r="E109" s="51">
        <f>E110+E111</f>
        <v>19228417.560000002</v>
      </c>
      <c r="F109" s="51">
        <f>F110+F111</f>
        <v>6348768.66</v>
      </c>
      <c r="G109" s="58">
        <f>G110+G111</f>
        <v>-12879648.9</v>
      </c>
      <c r="H109" s="54">
        <f t="shared" si="21"/>
        <v>0.33017634655527</v>
      </c>
      <c r="I109" s="51">
        <f>I110+I111</f>
        <v>24221136</v>
      </c>
      <c r="J109" s="51">
        <f>J110+J111</f>
        <v>200000</v>
      </c>
      <c r="K109" s="51">
        <f>K110+K111</f>
        <v>10243274.14</v>
      </c>
      <c r="L109" s="51">
        <f t="shared" si="22"/>
        <v>10043274.14</v>
      </c>
      <c r="M109" s="54">
        <f t="shared" si="20"/>
        <v>-1.8805742445355011</v>
      </c>
      <c r="N109" s="51">
        <f>N110+N111</f>
        <v>-13977861.86</v>
      </c>
      <c r="O109" s="54">
        <f t="shared" si="14"/>
        <v>0.42290642932684913</v>
      </c>
      <c r="P109" s="51">
        <f t="shared" si="24"/>
        <v>3894505.4800000004</v>
      </c>
      <c r="Q109" s="56"/>
    </row>
    <row r="110" spans="1:17" ht="75.75" customHeight="1" outlineLevel="2">
      <c r="A110" s="64" t="s">
        <v>196</v>
      </c>
      <c r="B110" s="65" t="s">
        <v>197</v>
      </c>
      <c r="C110" s="59" t="s">
        <v>198</v>
      </c>
      <c r="D110" s="60" t="s">
        <v>196</v>
      </c>
      <c r="E110" s="61">
        <v>7574993.66</v>
      </c>
      <c r="F110" s="61">
        <v>3037000</v>
      </c>
      <c r="G110" s="62">
        <f aca="true" t="shared" si="25" ref="G110:G130">F110-E110</f>
        <v>-4537993.66</v>
      </c>
      <c r="H110" s="63">
        <f t="shared" si="21"/>
        <v>0.40092442796843214</v>
      </c>
      <c r="I110" s="61">
        <v>18286836</v>
      </c>
      <c r="J110" s="61"/>
      <c r="K110" s="61">
        <v>3124344.33</v>
      </c>
      <c r="L110" s="61">
        <f t="shared" si="22"/>
        <v>3124344.33</v>
      </c>
      <c r="M110" s="63">
        <f t="shared" si="20"/>
        <v>-4.029718278628005</v>
      </c>
      <c r="N110" s="61">
        <f>K110-I110</f>
        <v>-15162491.67</v>
      </c>
      <c r="O110" s="63">
        <f t="shared" si="14"/>
        <v>0.17085209983837554</v>
      </c>
      <c r="P110" s="61">
        <f t="shared" si="24"/>
        <v>87344.33000000007</v>
      </c>
      <c r="Q110" s="73"/>
    </row>
    <row r="111" spans="1:17" ht="36" customHeight="1" outlineLevel="2">
      <c r="A111" s="64" t="s">
        <v>199</v>
      </c>
      <c r="B111" s="65" t="s">
        <v>200</v>
      </c>
      <c r="C111" s="59" t="s">
        <v>201</v>
      </c>
      <c r="D111" s="60" t="s">
        <v>199</v>
      </c>
      <c r="E111" s="61">
        <v>11653423.9</v>
      </c>
      <c r="F111" s="61">
        <v>3311768.66</v>
      </c>
      <c r="G111" s="62">
        <f t="shared" si="25"/>
        <v>-8341655.24</v>
      </c>
      <c r="H111" s="63">
        <f t="shared" si="21"/>
        <v>0.2841884658465054</v>
      </c>
      <c r="I111" s="61">
        <v>5934300</v>
      </c>
      <c r="J111" s="61">
        <v>200000</v>
      </c>
      <c r="K111" s="61">
        <v>7118929.81</v>
      </c>
      <c r="L111" s="61">
        <f t="shared" si="22"/>
        <v>6918929.81</v>
      </c>
      <c r="M111" s="63">
        <f t="shared" si="20"/>
        <v>-0.7114055699094081</v>
      </c>
      <c r="N111" s="61">
        <f>K111-I111</f>
        <v>1184629.8099999996</v>
      </c>
      <c r="O111" s="63">
        <f t="shared" si="14"/>
        <v>1.1996241865089394</v>
      </c>
      <c r="P111" s="61">
        <f t="shared" si="24"/>
        <v>3807161.1499999994</v>
      </c>
      <c r="Q111" s="66"/>
    </row>
    <row r="112" spans="1:17" s="32" customFormat="1" ht="69" customHeight="1" outlineLevel="1">
      <c r="A112" s="24" t="s">
        <v>202</v>
      </c>
      <c r="B112" s="48" t="s">
        <v>203</v>
      </c>
      <c r="C112" s="49" t="s">
        <v>204</v>
      </c>
      <c r="D112" s="50" t="s">
        <v>202</v>
      </c>
      <c r="E112" s="51">
        <v>1668058.37</v>
      </c>
      <c r="F112" s="51">
        <v>617384.96</v>
      </c>
      <c r="G112" s="58">
        <f t="shared" si="25"/>
        <v>-1050673.4100000001</v>
      </c>
      <c r="H112" s="54">
        <f t="shared" si="21"/>
        <v>0.37012191605740985</v>
      </c>
      <c r="I112" s="51">
        <v>216894.64</v>
      </c>
      <c r="J112" s="51">
        <v>35150</v>
      </c>
      <c r="K112" s="51">
        <f>24257490.35+126.48+2189.32</f>
        <v>24259806.150000002</v>
      </c>
      <c r="L112" s="51">
        <f t="shared" si="22"/>
        <v>24224656.150000002</v>
      </c>
      <c r="M112" s="54">
        <f t="shared" si="20"/>
        <v>-0.20643392888376225</v>
      </c>
      <c r="N112" s="51">
        <f>K112-I112</f>
        <v>24042911.51</v>
      </c>
      <c r="O112" s="54">
        <f t="shared" si="14"/>
        <v>111.85064854530292</v>
      </c>
      <c r="P112" s="51">
        <f t="shared" si="24"/>
        <v>23642421.19</v>
      </c>
      <c r="Q112" s="74" t="s">
        <v>258</v>
      </c>
    </row>
    <row r="113" spans="1:17" s="32" customFormat="1" ht="30.75" customHeight="1" outlineLevel="1">
      <c r="A113" s="24" t="s">
        <v>205</v>
      </c>
      <c r="B113" s="48" t="s">
        <v>206</v>
      </c>
      <c r="C113" s="49" t="s">
        <v>207</v>
      </c>
      <c r="D113" s="50" t="s">
        <v>205</v>
      </c>
      <c r="E113" s="51">
        <f>E114+E115+E116+E117+E118+E119+E120</f>
        <v>7747287.5</v>
      </c>
      <c r="F113" s="51">
        <f>F114+F115+F116+F117+F118+F119+F120</f>
        <v>3739457.38</v>
      </c>
      <c r="G113" s="58">
        <f>G114+G115+G116+G117+G118+G119</f>
        <v>-3942434.1199999996</v>
      </c>
      <c r="H113" s="75">
        <f t="shared" si="21"/>
        <v>0.48267956752605345</v>
      </c>
      <c r="I113" s="51">
        <f>I114+I115+I116+I117+I118+I119+I120</f>
        <v>7004782.08</v>
      </c>
      <c r="J113" s="51">
        <f>J114+J115+J116+J117+J118+J119+J120</f>
        <v>918137.48</v>
      </c>
      <c r="K113" s="51">
        <f>K114+K115+K116+K117+K118+K119+K120</f>
        <v>3561322.47</v>
      </c>
      <c r="L113" s="51">
        <f>L114+L115+L116+L117+L118+L119+L120</f>
        <v>2643184.99</v>
      </c>
      <c r="M113" s="51" t="e">
        <f>M114+M115+M116+M117+M118+M119+M120</f>
        <v>#DIV/0!</v>
      </c>
      <c r="N113" s="51">
        <f>N114+N115+N116+N117+N118+N119+N120</f>
        <v>-3443459.6099999994</v>
      </c>
      <c r="O113" s="54">
        <f t="shared" si="14"/>
        <v>0.5084130283179346</v>
      </c>
      <c r="P113" s="51">
        <f t="shared" si="24"/>
        <v>-178134.90999999968</v>
      </c>
      <c r="Q113" s="56"/>
    </row>
    <row r="114" spans="1:17" s="4" customFormat="1" ht="72" customHeight="1" outlineLevel="1">
      <c r="A114" s="76"/>
      <c r="B114" s="77" t="s">
        <v>208</v>
      </c>
      <c r="C114" s="59" t="s">
        <v>209</v>
      </c>
      <c r="D114" s="60" t="s">
        <v>210</v>
      </c>
      <c r="E114" s="78">
        <v>0</v>
      </c>
      <c r="F114" s="79"/>
      <c r="G114" s="62"/>
      <c r="H114" s="63"/>
      <c r="I114" s="79"/>
      <c r="J114" s="79"/>
      <c r="K114" s="79"/>
      <c r="L114" s="61">
        <f t="shared" si="22"/>
        <v>0</v>
      </c>
      <c r="M114" s="63"/>
      <c r="N114" s="61">
        <f aca="true" t="shared" si="26" ref="N114:N120">K114-I114</f>
        <v>0</v>
      </c>
      <c r="O114" s="63"/>
      <c r="P114" s="61">
        <f t="shared" si="24"/>
        <v>0</v>
      </c>
      <c r="Q114" s="80"/>
    </row>
    <row r="115" spans="1:17" ht="94.5" customHeight="1" outlineLevel="5">
      <c r="A115" s="64" t="s">
        <v>211</v>
      </c>
      <c r="B115" s="65" t="s">
        <v>212</v>
      </c>
      <c r="C115" s="59" t="s">
        <v>213</v>
      </c>
      <c r="D115" s="60" t="s">
        <v>211</v>
      </c>
      <c r="E115" s="61">
        <v>898909.4</v>
      </c>
      <c r="F115" s="61">
        <v>220559.6</v>
      </c>
      <c r="G115" s="62">
        <f t="shared" si="25"/>
        <v>-678349.8</v>
      </c>
      <c r="H115" s="63">
        <f t="shared" si="21"/>
        <v>0.24536354831755014</v>
      </c>
      <c r="I115" s="61">
        <v>936864.56</v>
      </c>
      <c r="J115" s="61"/>
      <c r="K115" s="61">
        <v>370929.6</v>
      </c>
      <c r="L115" s="61">
        <f t="shared" si="22"/>
        <v>370929.6</v>
      </c>
      <c r="M115" s="63">
        <f>I115/G115</f>
        <v>-1.381093589177737</v>
      </c>
      <c r="N115" s="61">
        <f t="shared" si="26"/>
        <v>-565934.9600000001</v>
      </c>
      <c r="O115" s="63">
        <f t="shared" si="14"/>
        <v>0.39592660010535563</v>
      </c>
      <c r="P115" s="61">
        <f t="shared" si="24"/>
        <v>150369.99999999997</v>
      </c>
      <c r="Q115" s="66" t="s">
        <v>259</v>
      </c>
    </row>
    <row r="116" spans="1:17" ht="61.5" customHeight="1" outlineLevel="5">
      <c r="A116" s="64" t="s">
        <v>214</v>
      </c>
      <c r="B116" s="65" t="s">
        <v>215</v>
      </c>
      <c r="C116" s="59" t="s">
        <v>216</v>
      </c>
      <c r="D116" s="60" t="s">
        <v>214</v>
      </c>
      <c r="E116" s="61">
        <v>91219.38</v>
      </c>
      <c r="F116" s="61">
        <v>17992.12</v>
      </c>
      <c r="G116" s="62">
        <f t="shared" si="25"/>
        <v>-73227.26000000001</v>
      </c>
      <c r="H116" s="63">
        <f t="shared" si="21"/>
        <v>0.19724010402175501</v>
      </c>
      <c r="I116" s="61">
        <v>33077</v>
      </c>
      <c r="J116" s="61">
        <v>4255</v>
      </c>
      <c r="K116" s="61"/>
      <c r="L116" s="61">
        <f t="shared" si="22"/>
        <v>-4255</v>
      </c>
      <c r="M116" s="63">
        <f>I116/G116</f>
        <v>-0.45170336839040537</v>
      </c>
      <c r="N116" s="61">
        <f t="shared" si="26"/>
        <v>-33077</v>
      </c>
      <c r="O116" s="63">
        <f t="shared" si="14"/>
        <v>0</v>
      </c>
      <c r="P116" s="61">
        <f t="shared" si="24"/>
        <v>-17992.12</v>
      </c>
      <c r="Q116" s="66"/>
    </row>
    <row r="117" spans="1:17" ht="79.5" customHeight="1" outlineLevel="5">
      <c r="A117" s="64" t="s">
        <v>217</v>
      </c>
      <c r="B117" s="65" t="s">
        <v>218</v>
      </c>
      <c r="C117" s="59" t="s">
        <v>219</v>
      </c>
      <c r="D117" s="60" t="s">
        <v>217</v>
      </c>
      <c r="E117" s="61">
        <v>0</v>
      </c>
      <c r="F117" s="61"/>
      <c r="G117" s="62">
        <f t="shared" si="25"/>
        <v>0</v>
      </c>
      <c r="H117" s="63"/>
      <c r="I117" s="61"/>
      <c r="J117" s="61"/>
      <c r="K117" s="61"/>
      <c r="L117" s="61">
        <f t="shared" si="22"/>
        <v>0</v>
      </c>
      <c r="M117" s="63"/>
      <c r="N117" s="61">
        <f t="shared" si="26"/>
        <v>0</v>
      </c>
      <c r="O117" s="63"/>
      <c r="P117" s="61">
        <f t="shared" si="24"/>
        <v>0</v>
      </c>
      <c r="Q117" s="66"/>
    </row>
    <row r="118" spans="1:17" ht="45" customHeight="1" hidden="1" outlineLevel="5">
      <c r="A118" s="64" t="s">
        <v>220</v>
      </c>
      <c r="B118" s="65"/>
      <c r="C118" s="59" t="s">
        <v>221</v>
      </c>
      <c r="D118" s="60" t="s">
        <v>220</v>
      </c>
      <c r="E118" s="61"/>
      <c r="F118" s="61"/>
      <c r="G118" s="62">
        <f t="shared" si="25"/>
        <v>0</v>
      </c>
      <c r="H118" s="63" t="e">
        <f t="shared" si="21"/>
        <v>#DIV/0!</v>
      </c>
      <c r="I118" s="61"/>
      <c r="J118" s="61"/>
      <c r="K118" s="61"/>
      <c r="L118" s="61">
        <f t="shared" si="22"/>
        <v>0</v>
      </c>
      <c r="M118" s="63" t="e">
        <f aca="true" t="shared" si="27" ref="M118:M127">I118/G118</f>
        <v>#DIV/0!</v>
      </c>
      <c r="N118" s="61">
        <f t="shared" si="26"/>
        <v>0</v>
      </c>
      <c r="O118" s="63" t="e">
        <f t="shared" si="14"/>
        <v>#DIV/0!</v>
      </c>
      <c r="P118" s="61">
        <f t="shared" si="24"/>
        <v>0</v>
      </c>
      <c r="Q118" s="81" t="s">
        <v>222</v>
      </c>
    </row>
    <row r="119" spans="1:17" ht="117" customHeight="1" outlineLevel="5">
      <c r="A119" s="64" t="s">
        <v>223</v>
      </c>
      <c r="B119" s="82" t="s">
        <v>224</v>
      </c>
      <c r="C119" s="83" t="s">
        <v>225</v>
      </c>
      <c r="D119" s="84" t="s">
        <v>223</v>
      </c>
      <c r="E119" s="85">
        <v>5165454.72</v>
      </c>
      <c r="F119" s="85">
        <v>1974597.66</v>
      </c>
      <c r="G119" s="86">
        <f t="shared" si="25"/>
        <v>-3190857.0599999996</v>
      </c>
      <c r="H119" s="87">
        <f t="shared" si="21"/>
        <v>0.3822698614227713</v>
      </c>
      <c r="I119" s="85">
        <v>4745840.52</v>
      </c>
      <c r="J119" s="85">
        <v>913882.48</v>
      </c>
      <c r="K119" s="85">
        <f>1847069.51+54323.36</f>
        <v>1901392.87</v>
      </c>
      <c r="L119" s="85">
        <f t="shared" si="22"/>
        <v>987510.3900000001</v>
      </c>
      <c r="M119" s="87">
        <f t="shared" si="27"/>
        <v>-1.4873247001543843</v>
      </c>
      <c r="N119" s="85">
        <f t="shared" si="26"/>
        <v>-2844447.6499999994</v>
      </c>
      <c r="O119" s="87">
        <f t="shared" si="14"/>
        <v>0.400644071790259</v>
      </c>
      <c r="P119" s="85">
        <f t="shared" si="24"/>
        <v>-73204.7899999998</v>
      </c>
      <c r="Q119" s="88"/>
    </row>
    <row r="120" spans="1:17" ht="47.25" customHeight="1" outlineLevel="5" thickBot="1">
      <c r="A120" s="64"/>
      <c r="B120" s="65" t="s">
        <v>226</v>
      </c>
      <c r="C120" s="89" t="s">
        <v>227</v>
      </c>
      <c r="D120" s="90"/>
      <c r="E120" s="91">
        <v>1591704</v>
      </c>
      <c r="F120" s="91">
        <v>1526308</v>
      </c>
      <c r="G120" s="92">
        <f t="shared" si="25"/>
        <v>-65396</v>
      </c>
      <c r="H120" s="93">
        <f t="shared" si="21"/>
        <v>0.9589144715349085</v>
      </c>
      <c r="I120" s="91">
        <v>1289000</v>
      </c>
      <c r="J120" s="91"/>
      <c r="K120" s="91">
        <v>1289000</v>
      </c>
      <c r="L120" s="85">
        <f t="shared" si="22"/>
        <v>1289000</v>
      </c>
      <c r="M120" s="93">
        <f t="shared" si="27"/>
        <v>-19.710685668848246</v>
      </c>
      <c r="N120" s="85">
        <f t="shared" si="26"/>
        <v>0</v>
      </c>
      <c r="O120" s="93"/>
      <c r="P120" s="85">
        <f t="shared" si="24"/>
        <v>-237308</v>
      </c>
      <c r="Q120" s="94" t="s">
        <v>269</v>
      </c>
    </row>
    <row r="121" spans="1:17" s="16" customFormat="1" ht="31.5" customHeight="1" thickBot="1">
      <c r="A121" s="9" t="s">
        <v>228</v>
      </c>
      <c r="B121" s="10" t="s">
        <v>226</v>
      </c>
      <c r="C121" s="95" t="s">
        <v>229</v>
      </c>
      <c r="D121" s="96" t="s">
        <v>228</v>
      </c>
      <c r="E121" s="99">
        <f>E122+E126+E127+E128+E129+E130</f>
        <v>3087425772.07</v>
      </c>
      <c r="F121" s="99">
        <f>F122+F126+F127+F128+F129+F130</f>
        <v>422571781.40999997</v>
      </c>
      <c r="G121" s="97">
        <f t="shared" si="25"/>
        <v>-2664853990.6600003</v>
      </c>
      <c r="H121" s="98">
        <f t="shared" si="21"/>
        <v>0.13686864482143707</v>
      </c>
      <c r="I121" s="99">
        <f>I122+I126+I127+I128+I129+I130</f>
        <v>2563683295.13</v>
      </c>
      <c r="J121" s="100" t="s">
        <v>230</v>
      </c>
      <c r="K121" s="99">
        <f>K122+K126+K127+K128+K129+K130</f>
        <v>546674864.62</v>
      </c>
      <c r="L121" s="100" t="s">
        <v>230</v>
      </c>
      <c r="M121" s="98">
        <f t="shared" si="27"/>
        <v>-0.9620351824585543</v>
      </c>
      <c r="N121" s="99">
        <f>N122+N126+N127+N130</f>
        <v>-1911564296.81</v>
      </c>
      <c r="O121" s="98">
        <f t="shared" si="14"/>
        <v>0.2132380648024931</v>
      </c>
      <c r="P121" s="99">
        <f t="shared" si="24"/>
        <v>124103083.21000004</v>
      </c>
      <c r="Q121" s="101"/>
    </row>
    <row r="122" spans="1:17" ht="39.75" customHeight="1" outlineLevel="2">
      <c r="A122" s="64" t="s">
        <v>231</v>
      </c>
      <c r="B122" s="65" t="s">
        <v>232</v>
      </c>
      <c r="C122" s="102" t="s">
        <v>233</v>
      </c>
      <c r="D122" s="103" t="s">
        <v>231</v>
      </c>
      <c r="E122" s="104">
        <v>473098326.55</v>
      </c>
      <c r="F122" s="104">
        <v>146548690.77</v>
      </c>
      <c r="G122" s="105">
        <f t="shared" si="25"/>
        <v>-326549635.78</v>
      </c>
      <c r="H122" s="106">
        <f t="shared" si="21"/>
        <v>0.3097637056522368</v>
      </c>
      <c r="I122" s="104">
        <v>497698288.62</v>
      </c>
      <c r="J122" s="107" t="s">
        <v>230</v>
      </c>
      <c r="K122" s="104">
        <v>165899432.62</v>
      </c>
      <c r="L122" s="107" t="s">
        <v>230</v>
      </c>
      <c r="M122" s="106">
        <f t="shared" si="27"/>
        <v>-1.5241122147669603</v>
      </c>
      <c r="N122" s="85">
        <f aca="true" t="shared" si="28" ref="N122:N129">K122-I122</f>
        <v>-331798856</v>
      </c>
      <c r="O122" s="106">
        <f t="shared" si="14"/>
        <v>0.3333333395218216</v>
      </c>
      <c r="P122" s="104">
        <f t="shared" si="24"/>
        <v>19350741.849999994</v>
      </c>
      <c r="Q122" s="108"/>
    </row>
    <row r="123" spans="1:17" ht="42.75" customHeight="1" hidden="1" outlineLevel="3">
      <c r="A123" s="64" t="s">
        <v>234</v>
      </c>
      <c r="B123" s="65"/>
      <c r="C123" s="59" t="s">
        <v>235</v>
      </c>
      <c r="D123" s="60" t="s">
        <v>234</v>
      </c>
      <c r="E123" s="61"/>
      <c r="F123" s="61"/>
      <c r="G123" s="105">
        <f t="shared" si="25"/>
        <v>0</v>
      </c>
      <c r="H123" s="106" t="e">
        <f t="shared" si="21"/>
        <v>#DIV/0!</v>
      </c>
      <c r="I123" s="61"/>
      <c r="J123" s="61"/>
      <c r="K123" s="61"/>
      <c r="L123" s="61"/>
      <c r="M123" s="106" t="e">
        <f t="shared" si="27"/>
        <v>#DIV/0!</v>
      </c>
      <c r="N123" s="85">
        <f t="shared" si="28"/>
        <v>0</v>
      </c>
      <c r="O123" s="106" t="e">
        <f t="shared" si="14"/>
        <v>#DIV/0!</v>
      </c>
      <c r="P123" s="104">
        <f t="shared" si="24"/>
        <v>0</v>
      </c>
      <c r="Q123" s="109"/>
    </row>
    <row r="124" spans="1:17" ht="71.25" customHeight="1" hidden="1" outlineLevel="4">
      <c r="A124" s="64" t="s">
        <v>236</v>
      </c>
      <c r="B124" s="65"/>
      <c r="C124" s="59" t="s">
        <v>237</v>
      </c>
      <c r="D124" s="60" t="s">
        <v>236</v>
      </c>
      <c r="E124" s="61"/>
      <c r="F124" s="61"/>
      <c r="G124" s="105">
        <f t="shared" si="25"/>
        <v>0</v>
      </c>
      <c r="H124" s="106" t="e">
        <f t="shared" si="21"/>
        <v>#DIV/0!</v>
      </c>
      <c r="I124" s="61"/>
      <c r="J124" s="61"/>
      <c r="K124" s="61"/>
      <c r="L124" s="61"/>
      <c r="M124" s="106" t="e">
        <f t="shared" si="27"/>
        <v>#DIV/0!</v>
      </c>
      <c r="N124" s="85">
        <f t="shared" si="28"/>
        <v>0</v>
      </c>
      <c r="O124" s="106" t="e">
        <f t="shared" si="14"/>
        <v>#DIV/0!</v>
      </c>
      <c r="P124" s="104">
        <f t="shared" si="24"/>
        <v>0</v>
      </c>
      <c r="Q124" s="109"/>
    </row>
    <row r="125" spans="1:17" ht="71.25" customHeight="1" hidden="1" outlineLevel="5">
      <c r="A125" s="64" t="s">
        <v>236</v>
      </c>
      <c r="B125" s="65"/>
      <c r="C125" s="59" t="s">
        <v>238</v>
      </c>
      <c r="D125" s="60" t="s">
        <v>236</v>
      </c>
      <c r="E125" s="61"/>
      <c r="F125" s="61"/>
      <c r="G125" s="105">
        <f t="shared" si="25"/>
        <v>0</v>
      </c>
      <c r="H125" s="106" t="e">
        <f t="shared" si="21"/>
        <v>#DIV/0!</v>
      </c>
      <c r="I125" s="61"/>
      <c r="J125" s="61"/>
      <c r="K125" s="61"/>
      <c r="L125" s="61"/>
      <c r="M125" s="106" t="e">
        <f t="shared" si="27"/>
        <v>#DIV/0!</v>
      </c>
      <c r="N125" s="85">
        <f t="shared" si="28"/>
        <v>0</v>
      </c>
      <c r="O125" s="106" t="e">
        <f t="shared" si="14"/>
        <v>#DIV/0!</v>
      </c>
      <c r="P125" s="104">
        <f t="shared" si="24"/>
        <v>0</v>
      </c>
      <c r="Q125" s="109"/>
    </row>
    <row r="126" spans="1:17" ht="21" customHeight="1" outlineLevel="2" collapsed="1">
      <c r="A126" s="64" t="s">
        <v>239</v>
      </c>
      <c r="B126" s="65" t="s">
        <v>240</v>
      </c>
      <c r="C126" s="59" t="s">
        <v>241</v>
      </c>
      <c r="D126" s="60" t="s">
        <v>242</v>
      </c>
      <c r="E126" s="110">
        <v>1985905932.37</v>
      </c>
      <c r="F126" s="110">
        <v>92969830.07</v>
      </c>
      <c r="G126" s="105">
        <f t="shared" si="25"/>
        <v>-1892936102.3</v>
      </c>
      <c r="H126" s="106">
        <f t="shared" si="21"/>
        <v>0.04681482065922875</v>
      </c>
      <c r="I126" s="61">
        <v>1359152528.19</v>
      </c>
      <c r="J126" s="107" t="s">
        <v>230</v>
      </c>
      <c r="K126" s="110">
        <v>147951413.94</v>
      </c>
      <c r="L126" s="107" t="s">
        <v>230</v>
      </c>
      <c r="M126" s="106">
        <f t="shared" si="27"/>
        <v>-0.7180128935882043</v>
      </c>
      <c r="N126" s="85">
        <f t="shared" si="28"/>
        <v>-1211201114.25</v>
      </c>
      <c r="O126" s="106">
        <f t="shared" si="14"/>
        <v>0.10885563678200907</v>
      </c>
      <c r="P126" s="104">
        <f t="shared" si="24"/>
        <v>54981583.870000005</v>
      </c>
      <c r="Q126" s="109"/>
    </row>
    <row r="127" spans="1:17" ht="22.5" customHeight="1" outlineLevel="5">
      <c r="A127" s="64" t="s">
        <v>243</v>
      </c>
      <c r="B127" s="65" t="s">
        <v>244</v>
      </c>
      <c r="C127" s="59" t="s">
        <v>245</v>
      </c>
      <c r="D127" s="60" t="s">
        <v>246</v>
      </c>
      <c r="E127" s="61">
        <v>520683169.05</v>
      </c>
      <c r="F127" s="61">
        <v>174731419.23</v>
      </c>
      <c r="G127" s="105">
        <f t="shared" si="25"/>
        <v>-345951749.82000005</v>
      </c>
      <c r="H127" s="106">
        <f t="shared" si="21"/>
        <v>0.3355810781224252</v>
      </c>
      <c r="I127" s="61">
        <v>569411761.15</v>
      </c>
      <c r="J127" s="107" t="s">
        <v>230</v>
      </c>
      <c r="K127" s="61">
        <v>200847434.59</v>
      </c>
      <c r="L127" s="107" t="s">
        <v>230</v>
      </c>
      <c r="M127" s="106">
        <f t="shared" si="27"/>
        <v>-1.6459282586264328</v>
      </c>
      <c r="N127" s="85">
        <f t="shared" si="28"/>
        <v>-368564326.55999994</v>
      </c>
      <c r="O127" s="106">
        <f t="shared" si="14"/>
        <v>0.35272793485045495</v>
      </c>
      <c r="P127" s="104">
        <f t="shared" si="24"/>
        <v>26116015.360000014</v>
      </c>
      <c r="Q127" s="109"/>
    </row>
    <row r="128" spans="1:17" ht="22.5" customHeight="1" outlineLevel="5">
      <c r="A128" s="64"/>
      <c r="B128" s="65" t="s">
        <v>247</v>
      </c>
      <c r="C128" s="59" t="s">
        <v>248</v>
      </c>
      <c r="D128" s="60"/>
      <c r="E128" s="61">
        <v>110208359.34</v>
      </c>
      <c r="F128" s="61">
        <v>8615171.26</v>
      </c>
      <c r="G128" s="105">
        <f t="shared" si="25"/>
        <v>-101593188.08</v>
      </c>
      <c r="H128" s="106">
        <f t="shared" si="21"/>
        <v>0.07817166784437497</v>
      </c>
      <c r="I128" s="61">
        <v>135974047.4</v>
      </c>
      <c r="J128" s="107" t="s">
        <v>230</v>
      </c>
      <c r="K128" s="61">
        <v>31039913.7</v>
      </c>
      <c r="L128" s="107" t="s">
        <v>230</v>
      </c>
      <c r="M128" s="106"/>
      <c r="N128" s="85">
        <f t="shared" si="28"/>
        <v>-104934133.7</v>
      </c>
      <c r="O128" s="106"/>
      <c r="P128" s="104">
        <f t="shared" si="24"/>
        <v>22424742.439999998</v>
      </c>
      <c r="Q128" s="109"/>
    </row>
    <row r="129" spans="1:17" ht="54" customHeight="1" outlineLevel="5">
      <c r="A129" s="64"/>
      <c r="B129" s="65" t="s">
        <v>249</v>
      </c>
      <c r="C129" s="59" t="s">
        <v>250</v>
      </c>
      <c r="D129" s="60"/>
      <c r="E129" s="85">
        <v>1669917.56</v>
      </c>
      <c r="F129" s="85"/>
      <c r="G129" s="105"/>
      <c r="H129" s="106"/>
      <c r="I129" s="61">
        <v>1446811.59</v>
      </c>
      <c r="J129" s="107" t="s">
        <v>230</v>
      </c>
      <c r="K129" s="85">
        <v>936811.59</v>
      </c>
      <c r="L129" s="107" t="s">
        <v>230</v>
      </c>
      <c r="M129" s="106"/>
      <c r="N129" s="85">
        <f t="shared" si="28"/>
        <v>-510000.0000000001</v>
      </c>
      <c r="O129" s="106"/>
      <c r="P129" s="104">
        <f t="shared" si="24"/>
        <v>936811.59</v>
      </c>
      <c r="Q129" s="109"/>
    </row>
    <row r="130" spans="1:17" ht="40.5" customHeight="1" outlineLevel="1">
      <c r="A130" s="64" t="s">
        <v>251</v>
      </c>
      <c r="B130" s="65" t="s">
        <v>252</v>
      </c>
      <c r="C130" s="59" t="s">
        <v>253</v>
      </c>
      <c r="D130" s="60" t="s">
        <v>251</v>
      </c>
      <c r="E130" s="85">
        <v>-4139932.8</v>
      </c>
      <c r="F130" s="85">
        <v>-293329.92</v>
      </c>
      <c r="G130" s="105">
        <f t="shared" si="25"/>
        <v>3846602.88</v>
      </c>
      <c r="H130" s="106">
        <f t="shared" si="21"/>
        <v>0.0708537877716276</v>
      </c>
      <c r="I130" s="61">
        <v>-141.82</v>
      </c>
      <c r="J130" s="107" t="s">
        <v>230</v>
      </c>
      <c r="K130" s="85">
        <v>-141.82</v>
      </c>
      <c r="L130" s="107" t="s">
        <v>230</v>
      </c>
      <c r="M130" s="63"/>
      <c r="N130" s="85">
        <f>K130-I130</f>
        <v>0</v>
      </c>
      <c r="O130" s="63"/>
      <c r="P130" s="104">
        <f t="shared" si="24"/>
        <v>293188.1</v>
      </c>
      <c r="Q130" s="109"/>
    </row>
    <row r="131" spans="1:17" s="118" customFormat="1" ht="23.25" customHeight="1">
      <c r="A131" s="506" t="s">
        <v>254</v>
      </c>
      <c r="B131" s="507"/>
      <c r="C131" s="508"/>
      <c r="D131" s="509"/>
      <c r="E131" s="115">
        <f>E121+E11</f>
        <v>3513539007.31</v>
      </c>
      <c r="F131" s="115">
        <f>F121+F11</f>
        <v>544913390.72</v>
      </c>
      <c r="G131" s="111">
        <f>F131-E131</f>
        <v>-2968625616.59</v>
      </c>
      <c r="H131" s="112">
        <f>F131/E131</f>
        <v>0.1550896089630128</v>
      </c>
      <c r="I131" s="113">
        <f>I121+I11</f>
        <v>2945678046.87</v>
      </c>
      <c r="J131" s="114" t="s">
        <v>230</v>
      </c>
      <c r="K131" s="115">
        <f>K121+K11</f>
        <v>686506866.61</v>
      </c>
      <c r="L131" s="114" t="s">
        <v>230</v>
      </c>
      <c r="M131" s="112">
        <f>I131/G131</f>
        <v>-0.9922699684353059</v>
      </c>
      <c r="N131" s="115">
        <f>N121+N11</f>
        <v>-2153727046.56</v>
      </c>
      <c r="O131" s="112">
        <f>K131/I131</f>
        <v>0.23305563462356796</v>
      </c>
      <c r="P131" s="116">
        <f>K131-F131</f>
        <v>141593475.89</v>
      </c>
      <c r="Q131" s="117"/>
    </row>
    <row r="132" spans="1:17" s="129" customFormat="1" ht="24.75" customHeight="1">
      <c r="A132" s="119"/>
      <c r="B132" s="120">
        <v>46</v>
      </c>
      <c r="C132" s="121" t="s">
        <v>255</v>
      </c>
      <c r="D132" s="122"/>
      <c r="E132" s="123">
        <v>39027</v>
      </c>
      <c r="F132" s="123">
        <v>540</v>
      </c>
      <c r="G132" s="124"/>
      <c r="H132" s="125"/>
      <c r="I132" s="126"/>
      <c r="J132" s="126"/>
      <c r="K132" s="123">
        <v>-8441.91</v>
      </c>
      <c r="L132" s="126"/>
      <c r="M132" s="125"/>
      <c r="N132" s="123"/>
      <c r="O132" s="125"/>
      <c r="P132" s="127"/>
      <c r="Q132" s="128"/>
    </row>
    <row r="133" spans="1:17" s="118" customFormat="1" ht="26.25" customHeight="1" thickBot="1">
      <c r="A133" s="130"/>
      <c r="B133" s="131"/>
      <c r="C133" s="131"/>
      <c r="D133" s="131"/>
      <c r="E133" s="136">
        <f>E131++E132</f>
        <v>3513578034.31</v>
      </c>
      <c r="F133" s="136">
        <f>F131++F132</f>
        <v>544913930.72</v>
      </c>
      <c r="G133" s="132">
        <f>F133-E133</f>
        <v>-2968664103.59</v>
      </c>
      <c r="H133" s="133">
        <f>F133/E133</f>
        <v>0.15508803999766888</v>
      </c>
      <c r="I133" s="134">
        <f>I131++I132</f>
        <v>2945678046.87</v>
      </c>
      <c r="J133" s="135" t="s">
        <v>230</v>
      </c>
      <c r="K133" s="136">
        <f>K131++K132</f>
        <v>686498424.7</v>
      </c>
      <c r="L133" s="137" t="s">
        <v>230</v>
      </c>
      <c r="M133" s="133">
        <f>I133/G133</f>
        <v>-0.9922571042334486</v>
      </c>
      <c r="N133" s="136">
        <f>N131++N132</f>
        <v>-2153727046.56</v>
      </c>
      <c r="O133" s="133">
        <f>K133/I133</f>
        <v>0.23305276876047443</v>
      </c>
      <c r="P133" s="132">
        <f>K133-F133</f>
        <v>141584493.98000002</v>
      </c>
      <c r="Q133" s="138"/>
    </row>
    <row r="134" ht="15">
      <c r="E134" s="139"/>
    </row>
    <row r="137" ht="15">
      <c r="E137" s="139"/>
    </row>
  </sheetData>
  <sheetProtection/>
  <mergeCells count="26">
    <mergeCell ref="A131:D131"/>
    <mergeCell ref="A3:E3"/>
    <mergeCell ref="Q7:Q9"/>
    <mergeCell ref="A8:A9"/>
    <mergeCell ref="E8:E9"/>
    <mergeCell ref="F8:F9"/>
    <mergeCell ref="G8:G9"/>
    <mergeCell ref="H8:H9"/>
    <mergeCell ref="I8:I9"/>
    <mergeCell ref="J8:J9"/>
    <mergeCell ref="K8:K9"/>
    <mergeCell ref="L8:L9"/>
    <mergeCell ref="B7:B9"/>
    <mergeCell ref="C7:C9"/>
    <mergeCell ref="D7:D9"/>
    <mergeCell ref="E7:H7"/>
    <mergeCell ref="I7:O7"/>
    <mergeCell ref="P7:P9"/>
    <mergeCell ref="M8:M9"/>
    <mergeCell ref="N8:N9"/>
    <mergeCell ref="O8:O9"/>
    <mergeCell ref="A1:D1"/>
    <mergeCell ref="A2:D2"/>
    <mergeCell ref="A4:Q4"/>
    <mergeCell ref="A5:D5"/>
    <mergeCell ref="A6:Q6"/>
  </mergeCells>
  <printOptions horizontalCentered="1"/>
  <pageMargins left="0" right="0" top="0.1968503937007874" bottom="0" header="0.3937007874015748" footer="0.3937007874015748"/>
  <pageSetup blackAndWhite="1" errors="blank" fitToHeight="0" fitToWidth="1" horizontalDpi="600" verticalDpi="600" orientation="landscape" paperSize="9" scale="56" r:id="rId1"/>
  <rowBreaks count="1" manualBreakCount="1">
    <brk id="111" max="16" man="1"/>
  </rowBreaks>
</worksheet>
</file>

<file path=xl/worksheets/sheet14.xml><?xml version="1.0" encoding="utf-8"?>
<worksheet xmlns="http://schemas.openxmlformats.org/spreadsheetml/2006/main" xmlns:r="http://schemas.openxmlformats.org/officeDocument/2006/relationships">
  <sheetPr>
    <tabColor theme="0" tint="-0.04997999966144562"/>
    <pageSetUpPr fitToPage="1"/>
  </sheetPr>
  <dimension ref="A1:Q137"/>
  <sheetViews>
    <sheetView showGridLines="0" showZeros="0" view="pageBreakPreview" zoomScale="85" zoomScaleNormal="75" zoomScaleSheetLayoutView="85" zoomScalePageLayoutView="0" workbookViewId="0" topLeftCell="B1">
      <pane ySplit="9" topLeftCell="A119" activePane="bottomLeft" state="frozen"/>
      <selection pane="topLeft" activeCell="A1" sqref="A1"/>
      <selection pane="bottomLeft" activeCell="O120" sqref="O120"/>
    </sheetView>
  </sheetViews>
  <sheetFormatPr defaultColWidth="9.140625" defaultRowHeight="15" outlineLevelRow="5"/>
  <cols>
    <col min="1" max="1" width="9.140625" style="1" hidden="1" customWidth="1"/>
    <col min="2" max="2" width="5.28125" style="1" customWidth="1"/>
    <col min="3" max="3" width="27.421875" style="2" customWidth="1"/>
    <col min="4" max="4" width="18.00390625" style="1" hidden="1" customWidth="1"/>
    <col min="5" max="6" width="21.421875" style="1" bestFit="1" customWidth="1"/>
    <col min="7" max="7" width="20.57421875" style="1" customWidth="1"/>
    <col min="8" max="8" width="10.28125" style="1" customWidth="1"/>
    <col min="9" max="9" width="20.28125" style="1" customWidth="1"/>
    <col min="10" max="10" width="17.57421875" style="1" hidden="1" customWidth="1"/>
    <col min="11" max="11" width="21.421875" style="1" bestFit="1" customWidth="1"/>
    <col min="12" max="12" width="19.140625" style="1" hidden="1" customWidth="1"/>
    <col min="13" max="13" width="14.28125" style="1" hidden="1" customWidth="1"/>
    <col min="14" max="14" width="21.140625" style="1" customWidth="1"/>
    <col min="15" max="15" width="13.8515625" style="1" customWidth="1"/>
    <col min="16" max="16" width="19.28125" style="1" customWidth="1"/>
    <col min="17" max="17" width="50.28125" style="2" bestFit="1" customWidth="1"/>
    <col min="18" max="16384" width="9.140625" style="1" customWidth="1"/>
  </cols>
  <sheetData>
    <row r="1" spans="1:4" ht="13.5" customHeight="1">
      <c r="A1" s="535" t="s">
        <v>0</v>
      </c>
      <c r="B1" s="535"/>
      <c r="C1" s="536"/>
      <c r="D1" s="536"/>
    </row>
    <row r="2" spans="1:4" ht="15" customHeight="1" hidden="1">
      <c r="A2" s="535"/>
      <c r="B2" s="535"/>
      <c r="C2" s="536"/>
      <c r="D2" s="536"/>
    </row>
    <row r="3" spans="1:4" ht="18">
      <c r="A3" s="537"/>
      <c r="B3" s="575"/>
      <c r="C3" s="576"/>
      <c r="D3" s="576"/>
    </row>
    <row r="4" spans="1:17" ht="15" customHeight="1">
      <c r="A4" s="538" t="s">
        <v>270</v>
      </c>
      <c r="B4" s="538"/>
      <c r="C4" s="538"/>
      <c r="D4" s="538"/>
      <c r="E4" s="538"/>
      <c r="F4" s="538"/>
      <c r="G4" s="538"/>
      <c r="H4" s="538"/>
      <c r="I4" s="538"/>
      <c r="J4" s="538"/>
      <c r="K4" s="538"/>
      <c r="L4" s="538"/>
      <c r="M4" s="538"/>
      <c r="N4" s="538"/>
      <c r="O4" s="538"/>
      <c r="P4" s="538"/>
      <c r="Q4" s="538"/>
    </row>
    <row r="5" spans="1:4" ht="0.75" customHeight="1">
      <c r="A5" s="539"/>
      <c r="B5" s="539"/>
      <c r="C5" s="540"/>
      <c r="D5" s="540"/>
    </row>
    <row r="6" spans="1:17" ht="12.75" customHeight="1" thickBot="1">
      <c r="A6" s="541" t="s">
        <v>1</v>
      </c>
      <c r="B6" s="541"/>
      <c r="C6" s="541"/>
      <c r="D6" s="541"/>
      <c r="E6" s="541"/>
      <c r="F6" s="541"/>
      <c r="G6" s="541"/>
      <c r="H6" s="541"/>
      <c r="I6" s="541"/>
      <c r="J6" s="541"/>
      <c r="K6" s="541"/>
      <c r="L6" s="541"/>
      <c r="M6" s="541"/>
      <c r="N6" s="541"/>
      <c r="O6" s="541"/>
      <c r="P6" s="541"/>
      <c r="Q6" s="541"/>
    </row>
    <row r="7" spans="1:17" s="4" customFormat="1" ht="24" customHeight="1">
      <c r="A7" s="3"/>
      <c r="B7" s="524"/>
      <c r="C7" s="525" t="s">
        <v>2</v>
      </c>
      <c r="D7" s="527" t="s">
        <v>3</v>
      </c>
      <c r="E7" s="530">
        <v>2022</v>
      </c>
      <c r="F7" s="530"/>
      <c r="G7" s="530"/>
      <c r="H7" s="531"/>
      <c r="I7" s="532">
        <v>2023</v>
      </c>
      <c r="J7" s="530"/>
      <c r="K7" s="530"/>
      <c r="L7" s="530"/>
      <c r="M7" s="530"/>
      <c r="N7" s="530"/>
      <c r="O7" s="531"/>
      <c r="P7" s="533" t="s">
        <v>262</v>
      </c>
      <c r="Q7" s="510" t="s">
        <v>4</v>
      </c>
    </row>
    <row r="8" spans="1:17" s="4" customFormat="1" ht="24" customHeight="1">
      <c r="A8" s="512" t="s">
        <v>5</v>
      </c>
      <c r="B8" s="524"/>
      <c r="C8" s="526"/>
      <c r="D8" s="528"/>
      <c r="E8" s="514" t="s">
        <v>261</v>
      </c>
      <c r="F8" s="516" t="s">
        <v>271</v>
      </c>
      <c r="G8" s="514" t="s">
        <v>6</v>
      </c>
      <c r="H8" s="519" t="s">
        <v>7</v>
      </c>
      <c r="I8" s="516" t="s">
        <v>8</v>
      </c>
      <c r="J8" s="516" t="s">
        <v>9</v>
      </c>
      <c r="K8" s="516" t="s">
        <v>271</v>
      </c>
      <c r="L8" s="523" t="s">
        <v>10</v>
      </c>
      <c r="M8" s="516" t="s">
        <v>11</v>
      </c>
      <c r="N8" s="523" t="s">
        <v>12</v>
      </c>
      <c r="O8" s="516" t="s">
        <v>13</v>
      </c>
      <c r="P8" s="534"/>
      <c r="Q8" s="511"/>
    </row>
    <row r="9" spans="1:17" s="4" customFormat="1" ht="57.75" customHeight="1">
      <c r="A9" s="513"/>
      <c r="B9" s="524"/>
      <c r="C9" s="526"/>
      <c r="D9" s="529"/>
      <c r="E9" s="515"/>
      <c r="F9" s="517"/>
      <c r="G9" s="518"/>
      <c r="H9" s="520"/>
      <c r="I9" s="517"/>
      <c r="J9" s="517"/>
      <c r="K9" s="517"/>
      <c r="L9" s="518"/>
      <c r="M9" s="517"/>
      <c r="N9" s="518"/>
      <c r="O9" s="517"/>
      <c r="P9" s="534"/>
      <c r="Q9" s="511"/>
    </row>
    <row r="10" spans="1:17" s="4" customFormat="1" ht="21" customHeight="1">
      <c r="A10" s="152"/>
      <c r="B10" s="6"/>
      <c r="C10" s="7">
        <v>1</v>
      </c>
      <c r="D10" s="153">
        <v>2</v>
      </c>
      <c r="E10" s="153">
        <v>9</v>
      </c>
      <c r="F10" s="153">
        <v>9</v>
      </c>
      <c r="G10" s="153">
        <v>5</v>
      </c>
      <c r="H10" s="153">
        <v>6</v>
      </c>
      <c r="I10" s="153">
        <v>7</v>
      </c>
      <c r="J10" s="153">
        <v>8</v>
      </c>
      <c r="K10" s="153">
        <v>9</v>
      </c>
      <c r="L10" s="153">
        <v>10</v>
      </c>
      <c r="M10" s="153">
        <v>11</v>
      </c>
      <c r="N10" s="153">
        <v>12</v>
      </c>
      <c r="O10" s="153">
        <v>13</v>
      </c>
      <c r="P10" s="153">
        <v>14</v>
      </c>
      <c r="Q10" s="153">
        <v>15</v>
      </c>
    </row>
    <row r="11" spans="1:17" s="16" customFormat="1" ht="33" customHeight="1" thickBot="1">
      <c r="A11" s="9" t="s">
        <v>14</v>
      </c>
      <c r="B11" s="10" t="s">
        <v>15</v>
      </c>
      <c r="C11" s="11" t="s">
        <v>16</v>
      </c>
      <c r="D11" s="12" t="s">
        <v>14</v>
      </c>
      <c r="E11" s="13">
        <f>E12+E80</f>
        <v>426113235.23999995</v>
      </c>
      <c r="F11" s="13">
        <f>F12+F80</f>
        <v>80121217.34</v>
      </c>
      <c r="G11" s="13">
        <f>F11-E11</f>
        <v>-345992017.9</v>
      </c>
      <c r="H11" s="14">
        <f>F11/E11</f>
        <v>0.18802799517567975</v>
      </c>
      <c r="I11" s="13">
        <f>I12+I80</f>
        <v>384050166.24</v>
      </c>
      <c r="J11" s="13">
        <f>J12+J80</f>
        <v>16636685.38</v>
      </c>
      <c r="K11" s="13">
        <f>K12+K80</f>
        <v>88219615.72999999</v>
      </c>
      <c r="L11" s="13">
        <f>K11-J11</f>
        <v>71582930.35</v>
      </c>
      <c r="M11" s="14">
        <f>K11/J11</f>
        <v>5.302715878491896</v>
      </c>
      <c r="N11" s="13">
        <f>K11-I11</f>
        <v>-295830550.51</v>
      </c>
      <c r="O11" s="14">
        <f>K11/I11</f>
        <v>0.22970857321506777</v>
      </c>
      <c r="P11" s="13">
        <f>K11-F11</f>
        <v>8098398.389999986</v>
      </c>
      <c r="Q11" s="15"/>
    </row>
    <row r="12" spans="1:17" s="16" customFormat="1" ht="33" customHeight="1">
      <c r="A12" s="9"/>
      <c r="B12" s="17" t="s">
        <v>17</v>
      </c>
      <c r="C12" s="18" t="s">
        <v>18</v>
      </c>
      <c r="D12" s="19"/>
      <c r="E12" s="20">
        <f>E13+E39+E40+E62+E66+E76</f>
        <v>352618682.34999996</v>
      </c>
      <c r="F12" s="20">
        <f>F13+F39+F40+F62+F66+F76</f>
        <v>65604663.39</v>
      </c>
      <c r="G12" s="20">
        <f>F12-E12</f>
        <v>-287014018.96</v>
      </c>
      <c r="H12" s="21">
        <f>F12/E12</f>
        <v>0.18604987958318825</v>
      </c>
      <c r="I12" s="20">
        <f>I13+I39+I40+I62+I66+I76</f>
        <v>323080657.63</v>
      </c>
      <c r="J12" s="20">
        <f>J13+J39+J40+J62+J66+J76</f>
        <v>14406368.9</v>
      </c>
      <c r="K12" s="20">
        <f>K13+K39+K40+K62+K66+K76</f>
        <v>46462781.73</v>
      </c>
      <c r="L12" s="22">
        <f>K12-J12</f>
        <v>32056412.83</v>
      </c>
      <c r="M12" s="21">
        <f>I12/G12</f>
        <v>-1.1256615924221685</v>
      </c>
      <c r="N12" s="22">
        <f>K12-I12</f>
        <v>-276617875.9</v>
      </c>
      <c r="O12" s="21">
        <f>K12/I12</f>
        <v>0.14381170965428183</v>
      </c>
      <c r="P12" s="20">
        <f>K12-F12</f>
        <v>-19141881.660000004</v>
      </c>
      <c r="Q12" s="23"/>
    </row>
    <row r="13" spans="1:17" s="32" customFormat="1" ht="52.5" customHeight="1" outlineLevel="2">
      <c r="A13" s="24" t="s">
        <v>19</v>
      </c>
      <c r="B13" s="25" t="s">
        <v>20</v>
      </c>
      <c r="C13" s="26" t="s">
        <v>21</v>
      </c>
      <c r="D13" s="27" t="s">
        <v>19</v>
      </c>
      <c r="E13" s="141">
        <v>190630093.23</v>
      </c>
      <c r="F13" s="141">
        <v>34434419.43</v>
      </c>
      <c r="G13" s="145">
        <f>F13-E13</f>
        <v>-156195673.79999998</v>
      </c>
      <c r="H13" s="29">
        <f>F13/E13</f>
        <v>0.1806347510330072</v>
      </c>
      <c r="I13" s="28">
        <v>179717500</v>
      </c>
      <c r="J13" s="30">
        <v>8290000</v>
      </c>
      <c r="K13" s="141">
        <f>19958521.45+10689405.71-189686.95</f>
        <v>30458240.21</v>
      </c>
      <c r="L13" s="28">
        <f>K13-J13</f>
        <v>22168240.21</v>
      </c>
      <c r="M13" s="29">
        <f>K13/J13</f>
        <v>3.6740941145958987</v>
      </c>
      <c r="N13" s="28">
        <f>K13-I13</f>
        <v>-149259259.79</v>
      </c>
      <c r="O13" s="29">
        <f aca="true" t="shared" si="0" ref="O13:O78">K13/I13</f>
        <v>0.16947843259560144</v>
      </c>
      <c r="P13" s="28">
        <f>K13-F13</f>
        <v>-3976179.219999999</v>
      </c>
      <c r="Q13" s="31" t="s">
        <v>266</v>
      </c>
    </row>
    <row r="14" spans="1:17" s="32" customFormat="1" ht="6.75" customHeight="1" outlineLevel="2">
      <c r="A14" s="24"/>
      <c r="B14" s="33"/>
      <c r="C14" s="34"/>
      <c r="D14" s="35"/>
      <c r="E14" s="42"/>
      <c r="F14" s="39"/>
      <c r="G14" s="146"/>
      <c r="H14" s="38"/>
      <c r="I14" s="36"/>
      <c r="J14" s="142"/>
      <c r="K14" s="142"/>
      <c r="L14" s="36"/>
      <c r="M14" s="38"/>
      <c r="N14" s="36"/>
      <c r="O14" s="38"/>
      <c r="P14" s="36"/>
      <c r="Q14" s="40"/>
    </row>
    <row r="15" spans="1:17" s="32" customFormat="1" ht="15.75" customHeight="1" hidden="1" outlineLevel="3">
      <c r="A15" s="24" t="s">
        <v>22</v>
      </c>
      <c r="B15" s="33"/>
      <c r="C15" s="41" t="s">
        <v>23</v>
      </c>
      <c r="D15" s="143" t="s">
        <v>22</v>
      </c>
      <c r="E15" s="51"/>
      <c r="F15" s="42"/>
      <c r="G15" s="43">
        <f aca="true" t="shared" si="1" ref="G15:G40">F15-E15</f>
        <v>0</v>
      </c>
      <c r="H15" s="44" t="e">
        <f aca="true" t="shared" si="2" ref="H15:H40">F15/E15</f>
        <v>#DIV/0!</v>
      </c>
      <c r="I15" s="42">
        <v>148555700</v>
      </c>
      <c r="J15" s="42"/>
      <c r="K15" s="42"/>
      <c r="L15" s="42"/>
      <c r="M15" s="45" t="e">
        <f aca="true" t="shared" si="3" ref="M15:M75">I15/G15</f>
        <v>#DIV/0!</v>
      </c>
      <c r="N15" s="42"/>
      <c r="O15" s="45">
        <f t="shared" si="0"/>
        <v>0</v>
      </c>
      <c r="P15" s="46">
        <f aca="true" t="shared" si="4" ref="P15:P40">K15-F15</f>
        <v>0</v>
      </c>
      <c r="Q15" s="47"/>
    </row>
    <row r="16" spans="1:17" s="32" customFormat="1" ht="210" customHeight="1" hidden="1" outlineLevel="4">
      <c r="A16" s="24" t="s">
        <v>24</v>
      </c>
      <c r="B16" s="48"/>
      <c r="C16" s="49" t="s">
        <v>25</v>
      </c>
      <c r="D16" s="144" t="s">
        <v>24</v>
      </c>
      <c r="E16" s="51"/>
      <c r="F16" s="51"/>
      <c r="G16" s="52">
        <f t="shared" si="1"/>
        <v>0</v>
      </c>
      <c r="H16" s="53" t="e">
        <f t="shared" si="2"/>
        <v>#DIV/0!</v>
      </c>
      <c r="I16" s="51">
        <v>148555700</v>
      </c>
      <c r="J16" s="51"/>
      <c r="K16" s="51"/>
      <c r="L16" s="51"/>
      <c r="M16" s="54" t="e">
        <f t="shared" si="3"/>
        <v>#DIV/0!</v>
      </c>
      <c r="N16" s="51"/>
      <c r="O16" s="54">
        <f t="shared" si="0"/>
        <v>0</v>
      </c>
      <c r="P16" s="55">
        <f t="shared" si="4"/>
        <v>0</v>
      </c>
      <c r="Q16" s="56"/>
    </row>
    <row r="17" spans="1:17" s="32" customFormat="1" ht="210" customHeight="1" hidden="1" outlineLevel="5">
      <c r="A17" s="24" t="s">
        <v>24</v>
      </c>
      <c r="B17" s="48"/>
      <c r="C17" s="49" t="s">
        <v>26</v>
      </c>
      <c r="D17" s="144" t="s">
        <v>24</v>
      </c>
      <c r="E17" s="51"/>
      <c r="F17" s="51"/>
      <c r="G17" s="52">
        <f t="shared" si="1"/>
        <v>0</v>
      </c>
      <c r="H17" s="53" t="e">
        <f t="shared" si="2"/>
        <v>#DIV/0!</v>
      </c>
      <c r="I17" s="51">
        <v>148555700</v>
      </c>
      <c r="J17" s="51"/>
      <c r="K17" s="51"/>
      <c r="L17" s="51"/>
      <c r="M17" s="54" t="e">
        <f t="shared" si="3"/>
        <v>#DIV/0!</v>
      </c>
      <c r="N17" s="51"/>
      <c r="O17" s="54">
        <f t="shared" si="0"/>
        <v>0</v>
      </c>
      <c r="P17" s="55">
        <f t="shared" si="4"/>
        <v>0</v>
      </c>
      <c r="Q17" s="56"/>
    </row>
    <row r="18" spans="1:17" s="32" customFormat="1" ht="210" customHeight="1" hidden="1" outlineLevel="5">
      <c r="A18" s="24" t="s">
        <v>27</v>
      </c>
      <c r="B18" s="48"/>
      <c r="C18" s="49" t="s">
        <v>28</v>
      </c>
      <c r="D18" s="144" t="s">
        <v>27</v>
      </c>
      <c r="E18" s="51"/>
      <c r="F18" s="51"/>
      <c r="G18" s="52">
        <f t="shared" si="1"/>
        <v>0</v>
      </c>
      <c r="H18" s="53" t="e">
        <f t="shared" si="2"/>
        <v>#DIV/0!</v>
      </c>
      <c r="I18" s="51">
        <v>0</v>
      </c>
      <c r="J18" s="51"/>
      <c r="K18" s="51"/>
      <c r="L18" s="51"/>
      <c r="M18" s="54" t="e">
        <f t="shared" si="3"/>
        <v>#DIV/0!</v>
      </c>
      <c r="N18" s="51"/>
      <c r="O18" s="54" t="e">
        <f t="shared" si="0"/>
        <v>#DIV/0!</v>
      </c>
      <c r="P18" s="55">
        <f t="shared" si="4"/>
        <v>0</v>
      </c>
      <c r="Q18" s="56"/>
    </row>
    <row r="19" spans="1:17" s="32" customFormat="1" ht="210" customHeight="1" hidden="1" outlineLevel="5">
      <c r="A19" s="24" t="s">
        <v>29</v>
      </c>
      <c r="B19" s="48"/>
      <c r="C19" s="49" t="s">
        <v>26</v>
      </c>
      <c r="D19" s="144" t="s">
        <v>29</v>
      </c>
      <c r="E19" s="51"/>
      <c r="F19" s="51"/>
      <c r="G19" s="52">
        <f t="shared" si="1"/>
        <v>0</v>
      </c>
      <c r="H19" s="53" t="e">
        <f t="shared" si="2"/>
        <v>#DIV/0!</v>
      </c>
      <c r="I19" s="51">
        <v>0</v>
      </c>
      <c r="J19" s="51"/>
      <c r="K19" s="51"/>
      <c r="L19" s="51"/>
      <c r="M19" s="54" t="e">
        <f t="shared" si="3"/>
        <v>#DIV/0!</v>
      </c>
      <c r="N19" s="51"/>
      <c r="O19" s="54" t="e">
        <f t="shared" si="0"/>
        <v>#DIV/0!</v>
      </c>
      <c r="P19" s="55">
        <f t="shared" si="4"/>
        <v>0</v>
      </c>
      <c r="Q19" s="56"/>
    </row>
    <row r="20" spans="1:17" s="32" customFormat="1" ht="210" customHeight="1" hidden="1" outlineLevel="5">
      <c r="A20" s="24" t="s">
        <v>30</v>
      </c>
      <c r="B20" s="48"/>
      <c r="C20" s="49" t="s">
        <v>26</v>
      </c>
      <c r="D20" s="144" t="s">
        <v>30</v>
      </c>
      <c r="E20" s="51"/>
      <c r="F20" s="51"/>
      <c r="G20" s="52">
        <f t="shared" si="1"/>
        <v>0</v>
      </c>
      <c r="H20" s="53" t="e">
        <f t="shared" si="2"/>
        <v>#DIV/0!</v>
      </c>
      <c r="I20" s="51">
        <v>0</v>
      </c>
      <c r="J20" s="51"/>
      <c r="K20" s="51"/>
      <c r="L20" s="51"/>
      <c r="M20" s="54" t="e">
        <f t="shared" si="3"/>
        <v>#DIV/0!</v>
      </c>
      <c r="N20" s="51"/>
      <c r="O20" s="54" t="e">
        <f t="shared" si="0"/>
        <v>#DIV/0!</v>
      </c>
      <c r="P20" s="55">
        <f t="shared" si="4"/>
        <v>0</v>
      </c>
      <c r="Q20" s="56"/>
    </row>
    <row r="21" spans="1:17" s="32" customFormat="1" ht="210" customHeight="1" hidden="1" outlineLevel="5">
      <c r="A21" s="24" t="s">
        <v>31</v>
      </c>
      <c r="B21" s="48"/>
      <c r="C21" s="49" t="s">
        <v>28</v>
      </c>
      <c r="D21" s="144" t="s">
        <v>31</v>
      </c>
      <c r="E21" s="51"/>
      <c r="F21" s="51"/>
      <c r="G21" s="52">
        <f t="shared" si="1"/>
        <v>0</v>
      </c>
      <c r="H21" s="53" t="e">
        <f t="shared" si="2"/>
        <v>#DIV/0!</v>
      </c>
      <c r="I21" s="51">
        <v>0</v>
      </c>
      <c r="J21" s="51"/>
      <c r="K21" s="51"/>
      <c r="L21" s="51"/>
      <c r="M21" s="54" t="e">
        <f t="shared" si="3"/>
        <v>#DIV/0!</v>
      </c>
      <c r="N21" s="51"/>
      <c r="O21" s="54" t="e">
        <f t="shared" si="0"/>
        <v>#DIV/0!</v>
      </c>
      <c r="P21" s="55">
        <f t="shared" si="4"/>
        <v>0</v>
      </c>
      <c r="Q21" s="56"/>
    </row>
    <row r="22" spans="1:17" s="32" customFormat="1" ht="15.75" customHeight="1" hidden="1" outlineLevel="3">
      <c r="A22" s="24" t="s">
        <v>32</v>
      </c>
      <c r="B22" s="48"/>
      <c r="C22" s="49" t="s">
        <v>23</v>
      </c>
      <c r="D22" s="144" t="s">
        <v>32</v>
      </c>
      <c r="E22" s="51"/>
      <c r="F22" s="51"/>
      <c r="G22" s="52">
        <f t="shared" si="1"/>
        <v>0</v>
      </c>
      <c r="H22" s="53" t="e">
        <f t="shared" si="2"/>
        <v>#DIV/0!</v>
      </c>
      <c r="I22" s="51">
        <v>750300</v>
      </c>
      <c r="J22" s="51"/>
      <c r="K22" s="51"/>
      <c r="L22" s="51"/>
      <c r="M22" s="54" t="e">
        <f t="shared" si="3"/>
        <v>#DIV/0!</v>
      </c>
      <c r="N22" s="51"/>
      <c r="O22" s="54">
        <f t="shared" si="0"/>
        <v>0</v>
      </c>
      <c r="P22" s="55">
        <f t="shared" si="4"/>
        <v>0</v>
      </c>
      <c r="Q22" s="56"/>
    </row>
    <row r="23" spans="1:17" s="32" customFormat="1" ht="330" customHeight="1" hidden="1" outlineLevel="4">
      <c r="A23" s="24" t="s">
        <v>33</v>
      </c>
      <c r="B23" s="48"/>
      <c r="C23" s="49" t="s">
        <v>34</v>
      </c>
      <c r="D23" s="144" t="s">
        <v>33</v>
      </c>
      <c r="E23" s="51"/>
      <c r="F23" s="51"/>
      <c r="G23" s="52">
        <f t="shared" si="1"/>
        <v>0</v>
      </c>
      <c r="H23" s="53" t="e">
        <f t="shared" si="2"/>
        <v>#DIV/0!</v>
      </c>
      <c r="I23" s="51">
        <v>750300</v>
      </c>
      <c r="J23" s="51"/>
      <c r="K23" s="51"/>
      <c r="L23" s="51"/>
      <c r="M23" s="54" t="e">
        <f t="shared" si="3"/>
        <v>#DIV/0!</v>
      </c>
      <c r="N23" s="51"/>
      <c r="O23" s="54">
        <f t="shared" si="0"/>
        <v>0</v>
      </c>
      <c r="P23" s="55">
        <f t="shared" si="4"/>
        <v>0</v>
      </c>
      <c r="Q23" s="56"/>
    </row>
    <row r="24" spans="1:17" s="32" customFormat="1" ht="330" customHeight="1" hidden="1" outlineLevel="5">
      <c r="A24" s="24" t="s">
        <v>33</v>
      </c>
      <c r="B24" s="48"/>
      <c r="C24" s="49" t="s">
        <v>35</v>
      </c>
      <c r="D24" s="144" t="s">
        <v>33</v>
      </c>
      <c r="E24" s="51"/>
      <c r="F24" s="51"/>
      <c r="G24" s="52">
        <f t="shared" si="1"/>
        <v>0</v>
      </c>
      <c r="H24" s="53" t="e">
        <f t="shared" si="2"/>
        <v>#DIV/0!</v>
      </c>
      <c r="I24" s="51">
        <v>750300</v>
      </c>
      <c r="J24" s="51"/>
      <c r="K24" s="51"/>
      <c r="L24" s="51"/>
      <c r="M24" s="54" t="e">
        <f t="shared" si="3"/>
        <v>#DIV/0!</v>
      </c>
      <c r="N24" s="51"/>
      <c r="O24" s="54">
        <f t="shared" si="0"/>
        <v>0</v>
      </c>
      <c r="P24" s="55">
        <f t="shared" si="4"/>
        <v>0</v>
      </c>
      <c r="Q24" s="56"/>
    </row>
    <row r="25" spans="1:17" s="32" customFormat="1" ht="330" customHeight="1" hidden="1" outlineLevel="5">
      <c r="A25" s="24" t="s">
        <v>36</v>
      </c>
      <c r="B25" s="48"/>
      <c r="C25" s="49" t="s">
        <v>35</v>
      </c>
      <c r="D25" s="144" t="s">
        <v>36</v>
      </c>
      <c r="E25" s="51"/>
      <c r="F25" s="51"/>
      <c r="G25" s="52">
        <f t="shared" si="1"/>
        <v>0</v>
      </c>
      <c r="H25" s="53" t="e">
        <f t="shared" si="2"/>
        <v>#DIV/0!</v>
      </c>
      <c r="I25" s="51">
        <v>0</v>
      </c>
      <c r="J25" s="51"/>
      <c r="K25" s="51"/>
      <c r="L25" s="51"/>
      <c r="M25" s="54" t="e">
        <f t="shared" si="3"/>
        <v>#DIV/0!</v>
      </c>
      <c r="N25" s="51"/>
      <c r="O25" s="54" t="e">
        <f t="shared" si="0"/>
        <v>#DIV/0!</v>
      </c>
      <c r="P25" s="55">
        <f t="shared" si="4"/>
        <v>0</v>
      </c>
      <c r="Q25" s="56"/>
    </row>
    <row r="26" spans="1:17" s="32" customFormat="1" ht="15.75" customHeight="1" hidden="1" outlineLevel="5">
      <c r="A26" s="24" t="s">
        <v>37</v>
      </c>
      <c r="B26" s="48"/>
      <c r="C26" s="49">
        <v>1.82101020200121E+19</v>
      </c>
      <c r="D26" s="144" t="s">
        <v>37</v>
      </c>
      <c r="E26" s="51"/>
      <c r="F26" s="51"/>
      <c r="G26" s="52">
        <f t="shared" si="1"/>
        <v>0</v>
      </c>
      <c r="H26" s="53" t="e">
        <f t="shared" si="2"/>
        <v>#DIV/0!</v>
      </c>
      <c r="I26" s="51">
        <v>0</v>
      </c>
      <c r="J26" s="51"/>
      <c r="K26" s="51"/>
      <c r="L26" s="51"/>
      <c r="M26" s="54" t="e">
        <f t="shared" si="3"/>
        <v>#DIV/0!</v>
      </c>
      <c r="N26" s="51"/>
      <c r="O26" s="54" t="e">
        <f t="shared" si="0"/>
        <v>#DIV/0!</v>
      </c>
      <c r="P26" s="55">
        <f t="shared" si="4"/>
        <v>0</v>
      </c>
      <c r="Q26" s="56"/>
    </row>
    <row r="27" spans="1:17" s="32" customFormat="1" ht="330" customHeight="1" hidden="1" outlineLevel="5">
      <c r="A27" s="24" t="s">
        <v>38</v>
      </c>
      <c r="B27" s="48"/>
      <c r="C27" s="49" t="s">
        <v>35</v>
      </c>
      <c r="D27" s="144" t="s">
        <v>38</v>
      </c>
      <c r="E27" s="51"/>
      <c r="F27" s="51"/>
      <c r="G27" s="52">
        <f t="shared" si="1"/>
        <v>0</v>
      </c>
      <c r="H27" s="53" t="e">
        <f t="shared" si="2"/>
        <v>#DIV/0!</v>
      </c>
      <c r="I27" s="51">
        <v>0</v>
      </c>
      <c r="J27" s="51"/>
      <c r="K27" s="51"/>
      <c r="L27" s="51"/>
      <c r="M27" s="54" t="e">
        <f t="shared" si="3"/>
        <v>#DIV/0!</v>
      </c>
      <c r="N27" s="51"/>
      <c r="O27" s="54" t="e">
        <f t="shared" si="0"/>
        <v>#DIV/0!</v>
      </c>
      <c r="P27" s="55">
        <f t="shared" si="4"/>
        <v>0</v>
      </c>
      <c r="Q27" s="56"/>
    </row>
    <row r="28" spans="1:17" s="32" customFormat="1" ht="15.75" customHeight="1" hidden="1" outlineLevel="3">
      <c r="A28" s="24" t="s">
        <v>39</v>
      </c>
      <c r="B28" s="48"/>
      <c r="C28" s="49" t="s">
        <v>23</v>
      </c>
      <c r="D28" s="144" t="s">
        <v>39</v>
      </c>
      <c r="E28" s="51"/>
      <c r="F28" s="51"/>
      <c r="G28" s="52">
        <f t="shared" si="1"/>
        <v>0</v>
      </c>
      <c r="H28" s="53" t="e">
        <f t="shared" si="2"/>
        <v>#DIV/0!</v>
      </c>
      <c r="I28" s="51">
        <v>450200</v>
      </c>
      <c r="J28" s="51"/>
      <c r="K28" s="51"/>
      <c r="L28" s="51"/>
      <c r="M28" s="54" t="e">
        <f t="shared" si="3"/>
        <v>#DIV/0!</v>
      </c>
      <c r="N28" s="51"/>
      <c r="O28" s="54">
        <f t="shared" si="0"/>
        <v>0</v>
      </c>
      <c r="P28" s="55">
        <f t="shared" si="4"/>
        <v>0</v>
      </c>
      <c r="Q28" s="56"/>
    </row>
    <row r="29" spans="1:17" s="32" customFormat="1" ht="120" customHeight="1" hidden="1" outlineLevel="4">
      <c r="A29" s="24" t="s">
        <v>40</v>
      </c>
      <c r="B29" s="48"/>
      <c r="C29" s="49" t="s">
        <v>41</v>
      </c>
      <c r="D29" s="144" t="s">
        <v>40</v>
      </c>
      <c r="E29" s="51"/>
      <c r="F29" s="51"/>
      <c r="G29" s="52">
        <f t="shared" si="1"/>
        <v>0</v>
      </c>
      <c r="H29" s="53" t="e">
        <f t="shared" si="2"/>
        <v>#DIV/0!</v>
      </c>
      <c r="I29" s="51">
        <v>450200</v>
      </c>
      <c r="J29" s="51"/>
      <c r="K29" s="51"/>
      <c r="L29" s="51"/>
      <c r="M29" s="54" t="e">
        <f t="shared" si="3"/>
        <v>#DIV/0!</v>
      </c>
      <c r="N29" s="51"/>
      <c r="O29" s="54">
        <f t="shared" si="0"/>
        <v>0</v>
      </c>
      <c r="P29" s="55">
        <f t="shared" si="4"/>
        <v>0</v>
      </c>
      <c r="Q29" s="56"/>
    </row>
    <row r="30" spans="1:17" s="32" customFormat="1" ht="120" customHeight="1" hidden="1" outlineLevel="5">
      <c r="A30" s="24" t="s">
        <v>40</v>
      </c>
      <c r="B30" s="48"/>
      <c r="C30" s="49" t="s">
        <v>42</v>
      </c>
      <c r="D30" s="144" t="s">
        <v>40</v>
      </c>
      <c r="E30" s="51"/>
      <c r="F30" s="51"/>
      <c r="G30" s="52">
        <f t="shared" si="1"/>
        <v>0</v>
      </c>
      <c r="H30" s="53" t="e">
        <f t="shared" si="2"/>
        <v>#DIV/0!</v>
      </c>
      <c r="I30" s="51">
        <v>450200</v>
      </c>
      <c r="J30" s="51"/>
      <c r="K30" s="51"/>
      <c r="L30" s="51"/>
      <c r="M30" s="54" t="e">
        <f t="shared" si="3"/>
        <v>#DIV/0!</v>
      </c>
      <c r="N30" s="51"/>
      <c r="O30" s="54">
        <f t="shared" si="0"/>
        <v>0</v>
      </c>
      <c r="P30" s="55">
        <f t="shared" si="4"/>
        <v>0</v>
      </c>
      <c r="Q30" s="56"/>
    </row>
    <row r="31" spans="1:17" s="32" customFormat="1" ht="120" customHeight="1" hidden="1" outlineLevel="5">
      <c r="A31" s="24" t="s">
        <v>43</v>
      </c>
      <c r="B31" s="48"/>
      <c r="C31" s="49" t="s">
        <v>44</v>
      </c>
      <c r="D31" s="144" t="s">
        <v>43</v>
      </c>
      <c r="E31" s="51"/>
      <c r="F31" s="51"/>
      <c r="G31" s="52">
        <f t="shared" si="1"/>
        <v>0</v>
      </c>
      <c r="H31" s="53" t="e">
        <f t="shared" si="2"/>
        <v>#DIV/0!</v>
      </c>
      <c r="I31" s="51">
        <v>0</v>
      </c>
      <c r="J31" s="51"/>
      <c r="K31" s="51"/>
      <c r="L31" s="51"/>
      <c r="M31" s="54" t="e">
        <f t="shared" si="3"/>
        <v>#DIV/0!</v>
      </c>
      <c r="N31" s="51"/>
      <c r="O31" s="54" t="e">
        <f t="shared" si="0"/>
        <v>#DIV/0!</v>
      </c>
      <c r="P31" s="55">
        <f t="shared" si="4"/>
        <v>0</v>
      </c>
      <c r="Q31" s="56"/>
    </row>
    <row r="32" spans="1:17" s="32" customFormat="1" ht="15.75" customHeight="1" hidden="1" outlineLevel="5">
      <c r="A32" s="24" t="s">
        <v>45</v>
      </c>
      <c r="B32" s="48"/>
      <c r="C32" s="49">
        <v>1.82101020300121E+19</v>
      </c>
      <c r="D32" s="144" t="s">
        <v>45</v>
      </c>
      <c r="E32" s="51"/>
      <c r="F32" s="51"/>
      <c r="G32" s="52">
        <f t="shared" si="1"/>
        <v>0</v>
      </c>
      <c r="H32" s="53" t="e">
        <f t="shared" si="2"/>
        <v>#DIV/0!</v>
      </c>
      <c r="I32" s="51">
        <v>0</v>
      </c>
      <c r="J32" s="51"/>
      <c r="K32" s="51"/>
      <c r="L32" s="51"/>
      <c r="M32" s="54" t="e">
        <f t="shared" si="3"/>
        <v>#DIV/0!</v>
      </c>
      <c r="N32" s="51"/>
      <c r="O32" s="54" t="e">
        <f t="shared" si="0"/>
        <v>#DIV/0!</v>
      </c>
      <c r="P32" s="55">
        <f t="shared" si="4"/>
        <v>0</v>
      </c>
      <c r="Q32" s="56"/>
    </row>
    <row r="33" spans="1:17" s="32" customFormat="1" ht="120" customHeight="1" hidden="1" outlineLevel="5">
      <c r="A33" s="24" t="s">
        <v>46</v>
      </c>
      <c r="B33" s="48"/>
      <c r="C33" s="49" t="s">
        <v>44</v>
      </c>
      <c r="D33" s="144" t="s">
        <v>46</v>
      </c>
      <c r="E33" s="51"/>
      <c r="F33" s="51"/>
      <c r="G33" s="52">
        <f t="shared" si="1"/>
        <v>0</v>
      </c>
      <c r="H33" s="53" t="e">
        <f t="shared" si="2"/>
        <v>#DIV/0!</v>
      </c>
      <c r="I33" s="51">
        <v>0</v>
      </c>
      <c r="J33" s="51"/>
      <c r="K33" s="51"/>
      <c r="L33" s="51"/>
      <c r="M33" s="54" t="e">
        <f t="shared" si="3"/>
        <v>#DIV/0!</v>
      </c>
      <c r="N33" s="51"/>
      <c r="O33" s="54" t="e">
        <f t="shared" si="0"/>
        <v>#DIV/0!</v>
      </c>
      <c r="P33" s="55">
        <f t="shared" si="4"/>
        <v>0</v>
      </c>
      <c r="Q33" s="56"/>
    </row>
    <row r="34" spans="1:17" s="32" customFormat="1" ht="120" customHeight="1" hidden="1" outlineLevel="5">
      <c r="A34" s="24" t="s">
        <v>47</v>
      </c>
      <c r="B34" s="48"/>
      <c r="C34" s="49" t="s">
        <v>44</v>
      </c>
      <c r="D34" s="144" t="s">
        <v>47</v>
      </c>
      <c r="E34" s="51"/>
      <c r="F34" s="51"/>
      <c r="G34" s="52">
        <f t="shared" si="1"/>
        <v>0</v>
      </c>
      <c r="H34" s="53" t="e">
        <f t="shared" si="2"/>
        <v>#DIV/0!</v>
      </c>
      <c r="I34" s="51">
        <v>0</v>
      </c>
      <c r="J34" s="51"/>
      <c r="K34" s="51"/>
      <c r="L34" s="51"/>
      <c r="M34" s="54" t="e">
        <f t="shared" si="3"/>
        <v>#DIV/0!</v>
      </c>
      <c r="N34" s="51"/>
      <c r="O34" s="54" t="e">
        <f t="shared" si="0"/>
        <v>#DIV/0!</v>
      </c>
      <c r="P34" s="55">
        <f t="shared" si="4"/>
        <v>0</v>
      </c>
      <c r="Q34" s="56"/>
    </row>
    <row r="35" spans="1:17" s="32" customFormat="1" ht="15.75" customHeight="1" hidden="1" outlineLevel="3">
      <c r="A35" s="24" t="s">
        <v>48</v>
      </c>
      <c r="B35" s="48"/>
      <c r="C35" s="49" t="s">
        <v>23</v>
      </c>
      <c r="D35" s="144" t="s">
        <v>48</v>
      </c>
      <c r="E35" s="51"/>
      <c r="F35" s="51"/>
      <c r="G35" s="52">
        <f t="shared" si="1"/>
        <v>0</v>
      </c>
      <c r="H35" s="53" t="e">
        <f t="shared" si="2"/>
        <v>#DIV/0!</v>
      </c>
      <c r="I35" s="51">
        <v>300100</v>
      </c>
      <c r="J35" s="51"/>
      <c r="K35" s="51"/>
      <c r="L35" s="51"/>
      <c r="M35" s="54" t="e">
        <f t="shared" si="3"/>
        <v>#DIV/0!</v>
      </c>
      <c r="N35" s="51"/>
      <c r="O35" s="54">
        <f t="shared" si="0"/>
        <v>0</v>
      </c>
      <c r="P35" s="55">
        <f t="shared" si="4"/>
        <v>0</v>
      </c>
      <c r="Q35" s="56"/>
    </row>
    <row r="36" spans="1:17" s="32" customFormat="1" ht="270" customHeight="1" hidden="1" outlineLevel="4">
      <c r="A36" s="24" t="s">
        <v>49</v>
      </c>
      <c r="B36" s="48"/>
      <c r="C36" s="49" t="s">
        <v>50</v>
      </c>
      <c r="D36" s="144" t="s">
        <v>49</v>
      </c>
      <c r="E36" s="51"/>
      <c r="F36" s="51"/>
      <c r="G36" s="52">
        <f t="shared" si="1"/>
        <v>0</v>
      </c>
      <c r="H36" s="53" t="e">
        <f t="shared" si="2"/>
        <v>#DIV/0!</v>
      </c>
      <c r="I36" s="51">
        <v>300100</v>
      </c>
      <c r="J36" s="51"/>
      <c r="K36" s="51"/>
      <c r="L36" s="51"/>
      <c r="M36" s="54" t="e">
        <f t="shared" si="3"/>
        <v>#DIV/0!</v>
      </c>
      <c r="N36" s="51"/>
      <c r="O36" s="54">
        <f t="shared" si="0"/>
        <v>0</v>
      </c>
      <c r="P36" s="55">
        <f t="shared" si="4"/>
        <v>0</v>
      </c>
      <c r="Q36" s="56"/>
    </row>
    <row r="37" spans="1:17" s="32" customFormat="1" ht="270" customHeight="1" hidden="1" outlineLevel="5">
      <c r="A37" s="24" t="s">
        <v>49</v>
      </c>
      <c r="B37" s="48"/>
      <c r="C37" s="49" t="s">
        <v>51</v>
      </c>
      <c r="D37" s="144" t="s">
        <v>49</v>
      </c>
      <c r="E37" s="51"/>
      <c r="F37" s="51"/>
      <c r="G37" s="52">
        <f t="shared" si="1"/>
        <v>0</v>
      </c>
      <c r="H37" s="53" t="e">
        <f t="shared" si="2"/>
        <v>#DIV/0!</v>
      </c>
      <c r="I37" s="51">
        <v>300100</v>
      </c>
      <c r="J37" s="51"/>
      <c r="K37" s="51"/>
      <c r="L37" s="51"/>
      <c r="M37" s="54" t="e">
        <f t="shared" si="3"/>
        <v>#DIV/0!</v>
      </c>
      <c r="N37" s="51"/>
      <c r="O37" s="54">
        <f t="shared" si="0"/>
        <v>0</v>
      </c>
      <c r="P37" s="55">
        <f t="shared" si="4"/>
        <v>0</v>
      </c>
      <c r="Q37" s="56"/>
    </row>
    <row r="38" spans="1:17" s="32" customFormat="1" ht="409.5" customHeight="1" hidden="1" outlineLevel="5">
      <c r="A38" s="24" t="s">
        <v>52</v>
      </c>
      <c r="B38" s="48"/>
      <c r="C38" s="49" t="s">
        <v>53</v>
      </c>
      <c r="D38" s="144" t="s">
        <v>52</v>
      </c>
      <c r="E38" s="51">
        <v>8650982.19</v>
      </c>
      <c r="F38" s="51"/>
      <c r="G38" s="52">
        <f t="shared" si="1"/>
        <v>-8650982.19</v>
      </c>
      <c r="H38" s="53">
        <f t="shared" si="2"/>
        <v>0</v>
      </c>
      <c r="I38" s="51">
        <v>0</v>
      </c>
      <c r="J38" s="51"/>
      <c r="K38" s="51"/>
      <c r="L38" s="51"/>
      <c r="M38" s="54">
        <f t="shared" si="3"/>
        <v>0</v>
      </c>
      <c r="N38" s="51"/>
      <c r="O38" s="54" t="e">
        <f t="shared" si="0"/>
        <v>#DIV/0!</v>
      </c>
      <c r="P38" s="55">
        <f t="shared" si="4"/>
        <v>0</v>
      </c>
      <c r="Q38" s="56"/>
    </row>
    <row r="39" spans="1:17" s="32" customFormat="1" ht="57.75" customHeight="1" outlineLevel="2" collapsed="1">
      <c r="A39" s="24" t="s">
        <v>54</v>
      </c>
      <c r="B39" s="48" t="s">
        <v>55</v>
      </c>
      <c r="C39" s="49" t="s">
        <v>56</v>
      </c>
      <c r="D39" s="144" t="s">
        <v>54</v>
      </c>
      <c r="E39" s="51">
        <v>10254357.32</v>
      </c>
      <c r="F39" s="51">
        <v>2291811.3</v>
      </c>
      <c r="G39" s="52">
        <f t="shared" si="1"/>
        <v>-7962546.0200000005</v>
      </c>
      <c r="H39" s="53">
        <f t="shared" si="2"/>
        <v>0.22349633706737262</v>
      </c>
      <c r="I39" s="51">
        <v>9197170</v>
      </c>
      <c r="J39" s="51">
        <v>676056.9</v>
      </c>
      <c r="K39" s="51">
        <f>1707383.29+765348.9</f>
        <v>2472732.19</v>
      </c>
      <c r="L39" s="28">
        <f>K39-J39</f>
        <v>1796675.29</v>
      </c>
      <c r="M39" s="54">
        <f t="shared" si="3"/>
        <v>-1.155053920806099</v>
      </c>
      <c r="N39" s="51">
        <f>K39-I39</f>
        <v>-6724437.8100000005</v>
      </c>
      <c r="O39" s="54">
        <f t="shared" si="0"/>
        <v>0.26885794108405087</v>
      </c>
      <c r="P39" s="55">
        <f t="shared" si="4"/>
        <v>180920.89000000013</v>
      </c>
      <c r="Q39" s="149" t="s">
        <v>267</v>
      </c>
    </row>
    <row r="40" spans="1:17" s="32" customFormat="1" ht="58.5" customHeight="1" outlineLevel="1">
      <c r="A40" s="24" t="s">
        <v>57</v>
      </c>
      <c r="B40" s="48" t="s">
        <v>58</v>
      </c>
      <c r="C40" s="49" t="s">
        <v>59</v>
      </c>
      <c r="D40" s="144" t="s">
        <v>57</v>
      </c>
      <c r="E40" s="58">
        <f>E41+E42+E52+E56</f>
        <v>45903932.26</v>
      </c>
      <c r="F40" s="51">
        <f>F41+F42+F52+F56</f>
        <v>9953022.76</v>
      </c>
      <c r="G40" s="52">
        <f t="shared" si="1"/>
        <v>-35950909.5</v>
      </c>
      <c r="H40" s="53">
        <f t="shared" si="2"/>
        <v>0.21682287921710175</v>
      </c>
      <c r="I40" s="51">
        <f>I41+I42+I52+I56</f>
        <v>44278800</v>
      </c>
      <c r="J40" s="51">
        <f>J41+J42+J52+J56</f>
        <v>1291804</v>
      </c>
      <c r="K40" s="51">
        <f>K41+K42+K52+K56</f>
        <v>3791266.1399999997</v>
      </c>
      <c r="L40" s="28">
        <f>K40-J40</f>
        <v>2499462.1399999997</v>
      </c>
      <c r="M40" s="54">
        <f t="shared" si="3"/>
        <v>-1.2316461701754722</v>
      </c>
      <c r="N40" s="51">
        <f>N41+N42+N52+N56</f>
        <v>-40487533.86</v>
      </c>
      <c r="O40" s="54">
        <f t="shared" si="0"/>
        <v>0.08562260359359332</v>
      </c>
      <c r="P40" s="55">
        <f t="shared" si="4"/>
        <v>-6161756.62</v>
      </c>
      <c r="Q40" s="149" t="s">
        <v>267</v>
      </c>
    </row>
    <row r="41" spans="1:17" s="32" customFormat="1" ht="41.25" customHeight="1" outlineLevel="1">
      <c r="A41" s="24"/>
      <c r="B41" s="48" t="s">
        <v>60</v>
      </c>
      <c r="C41" s="59" t="s">
        <v>61</v>
      </c>
      <c r="D41" s="60" t="s">
        <v>62</v>
      </c>
      <c r="E41" s="61">
        <v>33191065.25</v>
      </c>
      <c r="F41" s="61">
        <v>5718691.54</v>
      </c>
      <c r="G41" s="62">
        <f>F41-E41</f>
        <v>-27472373.71</v>
      </c>
      <c r="H41" s="63"/>
      <c r="I41" s="61">
        <v>31715800</v>
      </c>
      <c r="J41" s="61">
        <v>728906</v>
      </c>
      <c r="K41" s="61">
        <f>984197.05+4398654.88+106355.22</f>
        <v>5489207.149999999</v>
      </c>
      <c r="L41" s="61">
        <f>K41-J41</f>
        <v>4760301.149999999</v>
      </c>
      <c r="M41" s="63">
        <f t="shared" si="3"/>
        <v>-1.1544615814706751</v>
      </c>
      <c r="N41" s="61">
        <f>K41-I41</f>
        <v>-26226592.85</v>
      </c>
      <c r="O41" s="63">
        <f t="shared" si="0"/>
        <v>0.17307484439932144</v>
      </c>
      <c r="P41" s="61">
        <f>K41-F41</f>
        <v>-229484.3900000006</v>
      </c>
      <c r="Q41" s="57"/>
    </row>
    <row r="42" spans="1:17" ht="28.5" outlineLevel="2">
      <c r="A42" s="64" t="s">
        <v>63</v>
      </c>
      <c r="B42" s="65" t="s">
        <v>64</v>
      </c>
      <c r="C42" s="59" t="s">
        <v>65</v>
      </c>
      <c r="D42" s="60" t="s">
        <v>63</v>
      </c>
      <c r="E42" s="61">
        <v>108221.73</v>
      </c>
      <c r="F42" s="61">
        <v>76300.93</v>
      </c>
      <c r="G42" s="62">
        <f>F42-E42</f>
        <v>-31920.800000000003</v>
      </c>
      <c r="H42" s="63">
        <f>F42/E42</f>
        <v>0.7050426009637806</v>
      </c>
      <c r="I42" s="61"/>
      <c r="J42" s="61"/>
      <c r="K42" s="61">
        <f>-244457.08+364.52+125.04</f>
        <v>-243967.52</v>
      </c>
      <c r="L42" s="61">
        <f aca="true" t="shared" si="5" ref="L42:L56">K42-J42</f>
        <v>-243967.52</v>
      </c>
      <c r="M42" s="63">
        <f t="shared" si="3"/>
        <v>0</v>
      </c>
      <c r="N42" s="61">
        <f>K42-I42</f>
        <v>-243967.52</v>
      </c>
      <c r="O42" s="63"/>
      <c r="P42" s="61">
        <f>K42-F42</f>
        <v>-320268.44999999995</v>
      </c>
      <c r="Q42" s="66" t="s">
        <v>263</v>
      </c>
    </row>
    <row r="43" spans="1:17" ht="15" customHeight="1" hidden="1" outlineLevel="3">
      <c r="A43" s="64" t="s">
        <v>66</v>
      </c>
      <c r="B43" s="65"/>
      <c r="C43" s="59" t="s">
        <v>23</v>
      </c>
      <c r="D43" s="60" t="s">
        <v>66</v>
      </c>
      <c r="E43" s="61"/>
      <c r="F43" s="61"/>
      <c r="G43" s="62">
        <f aca="true" t="shared" si="6" ref="G43:G56">F43-E43</f>
        <v>0</v>
      </c>
      <c r="H43" s="63" t="e">
        <f aca="true" t="shared" si="7" ref="H43:H56">F43/E43</f>
        <v>#DIV/0!</v>
      </c>
      <c r="I43" s="61">
        <v>57591300</v>
      </c>
      <c r="J43" s="61"/>
      <c r="K43" s="61"/>
      <c r="L43" s="61">
        <f t="shared" si="5"/>
        <v>0</v>
      </c>
      <c r="M43" s="63" t="e">
        <f t="shared" si="3"/>
        <v>#DIV/0!</v>
      </c>
      <c r="N43" s="61">
        <f aca="true" t="shared" si="8" ref="N43:N56">K43-I43</f>
        <v>-57591300</v>
      </c>
      <c r="O43" s="63">
        <f t="shared" si="0"/>
        <v>0</v>
      </c>
      <c r="P43" s="61">
        <f aca="true" t="shared" si="9" ref="P43:P56">K43-F43</f>
        <v>0</v>
      </c>
      <c r="Q43" s="67"/>
    </row>
    <row r="44" spans="1:17" ht="57" customHeight="1" hidden="1" outlineLevel="4">
      <c r="A44" s="64" t="s">
        <v>67</v>
      </c>
      <c r="B44" s="65"/>
      <c r="C44" s="59" t="s">
        <v>68</v>
      </c>
      <c r="D44" s="60" t="s">
        <v>67</v>
      </c>
      <c r="E44" s="61"/>
      <c r="F44" s="61"/>
      <c r="G44" s="62">
        <f t="shared" si="6"/>
        <v>0</v>
      </c>
      <c r="H44" s="63" t="e">
        <f t="shared" si="7"/>
        <v>#DIV/0!</v>
      </c>
      <c r="I44" s="61">
        <v>57591300</v>
      </c>
      <c r="J44" s="61"/>
      <c r="K44" s="61"/>
      <c r="L44" s="61">
        <f t="shared" si="5"/>
        <v>0</v>
      </c>
      <c r="M44" s="63" t="e">
        <f t="shared" si="3"/>
        <v>#DIV/0!</v>
      </c>
      <c r="N44" s="61">
        <f t="shared" si="8"/>
        <v>-57591300</v>
      </c>
      <c r="O44" s="63">
        <f t="shared" si="0"/>
        <v>0</v>
      </c>
      <c r="P44" s="61">
        <f t="shared" si="9"/>
        <v>0</v>
      </c>
      <c r="Q44" s="67"/>
    </row>
    <row r="45" spans="1:17" ht="57" customHeight="1" hidden="1" outlineLevel="5">
      <c r="A45" s="64" t="s">
        <v>67</v>
      </c>
      <c r="B45" s="65"/>
      <c r="C45" s="59" t="s">
        <v>69</v>
      </c>
      <c r="D45" s="60" t="s">
        <v>67</v>
      </c>
      <c r="E45" s="61"/>
      <c r="F45" s="61"/>
      <c r="G45" s="62">
        <f t="shared" si="6"/>
        <v>0</v>
      </c>
      <c r="H45" s="63" t="e">
        <f t="shared" si="7"/>
        <v>#DIV/0!</v>
      </c>
      <c r="I45" s="61">
        <v>57591300</v>
      </c>
      <c r="J45" s="61"/>
      <c r="K45" s="61"/>
      <c r="L45" s="61">
        <f t="shared" si="5"/>
        <v>0</v>
      </c>
      <c r="M45" s="63" t="e">
        <f t="shared" si="3"/>
        <v>#DIV/0!</v>
      </c>
      <c r="N45" s="61">
        <f t="shared" si="8"/>
        <v>-57591300</v>
      </c>
      <c r="O45" s="63">
        <f t="shared" si="0"/>
        <v>0</v>
      </c>
      <c r="P45" s="61">
        <f t="shared" si="9"/>
        <v>0</v>
      </c>
      <c r="Q45" s="67"/>
    </row>
    <row r="46" spans="1:17" ht="57" customHeight="1" hidden="1" outlineLevel="5">
      <c r="A46" s="64" t="s">
        <v>70</v>
      </c>
      <c r="B46" s="65"/>
      <c r="C46" s="59" t="s">
        <v>69</v>
      </c>
      <c r="D46" s="60" t="s">
        <v>70</v>
      </c>
      <c r="E46" s="61"/>
      <c r="F46" s="61"/>
      <c r="G46" s="62">
        <f t="shared" si="6"/>
        <v>0</v>
      </c>
      <c r="H46" s="63" t="e">
        <f t="shared" si="7"/>
        <v>#DIV/0!</v>
      </c>
      <c r="I46" s="61">
        <v>0</v>
      </c>
      <c r="J46" s="61"/>
      <c r="K46" s="61"/>
      <c r="L46" s="61">
        <f t="shared" si="5"/>
        <v>0</v>
      </c>
      <c r="M46" s="63" t="e">
        <f t="shared" si="3"/>
        <v>#DIV/0!</v>
      </c>
      <c r="N46" s="61">
        <f t="shared" si="8"/>
        <v>0</v>
      </c>
      <c r="O46" s="63" t="e">
        <f t="shared" si="0"/>
        <v>#DIV/0!</v>
      </c>
      <c r="P46" s="61">
        <f t="shared" si="9"/>
        <v>0</v>
      </c>
      <c r="Q46" s="67"/>
    </row>
    <row r="47" spans="1:17" ht="57" customHeight="1" hidden="1" outlineLevel="5">
      <c r="A47" s="64" t="s">
        <v>71</v>
      </c>
      <c r="B47" s="65"/>
      <c r="C47" s="59" t="s">
        <v>69</v>
      </c>
      <c r="D47" s="60" t="s">
        <v>71</v>
      </c>
      <c r="E47" s="61"/>
      <c r="F47" s="61"/>
      <c r="G47" s="62">
        <f t="shared" si="6"/>
        <v>0</v>
      </c>
      <c r="H47" s="63" t="e">
        <f t="shared" si="7"/>
        <v>#DIV/0!</v>
      </c>
      <c r="I47" s="61">
        <v>0</v>
      </c>
      <c r="J47" s="61"/>
      <c r="K47" s="61"/>
      <c r="L47" s="61">
        <f t="shared" si="5"/>
        <v>0</v>
      </c>
      <c r="M47" s="63" t="e">
        <f t="shared" si="3"/>
        <v>#DIV/0!</v>
      </c>
      <c r="N47" s="61">
        <f t="shared" si="8"/>
        <v>0</v>
      </c>
      <c r="O47" s="63" t="e">
        <f t="shared" si="0"/>
        <v>#DIV/0!</v>
      </c>
      <c r="P47" s="61">
        <f t="shared" si="9"/>
        <v>0</v>
      </c>
      <c r="Q47" s="67"/>
    </row>
    <row r="48" spans="1:17" ht="57" customHeight="1" hidden="1" outlineLevel="5">
      <c r="A48" s="64" t="s">
        <v>72</v>
      </c>
      <c r="B48" s="65"/>
      <c r="C48" s="59" t="s">
        <v>69</v>
      </c>
      <c r="D48" s="60" t="s">
        <v>72</v>
      </c>
      <c r="E48" s="61"/>
      <c r="F48" s="61"/>
      <c r="G48" s="62">
        <f t="shared" si="6"/>
        <v>0</v>
      </c>
      <c r="H48" s="63" t="e">
        <f t="shared" si="7"/>
        <v>#DIV/0!</v>
      </c>
      <c r="I48" s="61">
        <v>0</v>
      </c>
      <c r="J48" s="61"/>
      <c r="K48" s="61"/>
      <c r="L48" s="61">
        <f t="shared" si="5"/>
        <v>0</v>
      </c>
      <c r="M48" s="63" t="e">
        <f t="shared" si="3"/>
        <v>#DIV/0!</v>
      </c>
      <c r="N48" s="61">
        <f t="shared" si="8"/>
        <v>0</v>
      </c>
      <c r="O48" s="63" t="e">
        <f t="shared" si="0"/>
        <v>#DIV/0!</v>
      </c>
      <c r="P48" s="61">
        <f t="shared" si="9"/>
        <v>0</v>
      </c>
      <c r="Q48" s="67"/>
    </row>
    <row r="49" spans="1:17" ht="15" customHeight="1" hidden="1" outlineLevel="3">
      <c r="A49" s="64" t="s">
        <v>73</v>
      </c>
      <c r="B49" s="65"/>
      <c r="C49" s="59" t="s">
        <v>23</v>
      </c>
      <c r="D49" s="60" t="s">
        <v>73</v>
      </c>
      <c r="E49" s="61"/>
      <c r="F49" s="61"/>
      <c r="G49" s="62">
        <f t="shared" si="6"/>
        <v>0</v>
      </c>
      <c r="H49" s="63" t="e">
        <f t="shared" si="7"/>
        <v>#DIV/0!</v>
      </c>
      <c r="I49" s="61">
        <v>0</v>
      </c>
      <c r="J49" s="61"/>
      <c r="K49" s="61"/>
      <c r="L49" s="61">
        <f t="shared" si="5"/>
        <v>0</v>
      </c>
      <c r="M49" s="63" t="e">
        <f t="shared" si="3"/>
        <v>#DIV/0!</v>
      </c>
      <c r="N49" s="61">
        <f t="shared" si="8"/>
        <v>0</v>
      </c>
      <c r="O49" s="63" t="e">
        <f t="shared" si="0"/>
        <v>#DIV/0!</v>
      </c>
      <c r="P49" s="61">
        <f t="shared" si="9"/>
        <v>0</v>
      </c>
      <c r="Q49" s="67"/>
    </row>
    <row r="50" spans="1:17" ht="99.75" customHeight="1" hidden="1" outlineLevel="4">
      <c r="A50" s="64" t="s">
        <v>74</v>
      </c>
      <c r="B50" s="65"/>
      <c r="C50" s="59" t="s">
        <v>75</v>
      </c>
      <c r="D50" s="60" t="s">
        <v>74</v>
      </c>
      <c r="E50" s="61"/>
      <c r="F50" s="61"/>
      <c r="G50" s="62">
        <f t="shared" si="6"/>
        <v>0</v>
      </c>
      <c r="H50" s="63" t="e">
        <f t="shared" si="7"/>
        <v>#DIV/0!</v>
      </c>
      <c r="I50" s="61">
        <v>0</v>
      </c>
      <c r="J50" s="61"/>
      <c r="K50" s="61"/>
      <c r="L50" s="61">
        <f t="shared" si="5"/>
        <v>0</v>
      </c>
      <c r="M50" s="63" t="e">
        <f t="shared" si="3"/>
        <v>#DIV/0!</v>
      </c>
      <c r="N50" s="61">
        <f t="shared" si="8"/>
        <v>0</v>
      </c>
      <c r="O50" s="63" t="e">
        <f t="shared" si="0"/>
        <v>#DIV/0!</v>
      </c>
      <c r="P50" s="61">
        <f t="shared" si="9"/>
        <v>0</v>
      </c>
      <c r="Q50" s="67"/>
    </row>
    <row r="51" spans="1:17" ht="99.75" customHeight="1" hidden="1" outlineLevel="5">
      <c r="A51" s="64" t="s">
        <v>76</v>
      </c>
      <c r="B51" s="65"/>
      <c r="C51" s="59" t="s">
        <v>77</v>
      </c>
      <c r="D51" s="60" t="s">
        <v>76</v>
      </c>
      <c r="E51" s="61"/>
      <c r="F51" s="61"/>
      <c r="G51" s="62">
        <f t="shared" si="6"/>
        <v>0</v>
      </c>
      <c r="H51" s="63" t="e">
        <f t="shared" si="7"/>
        <v>#DIV/0!</v>
      </c>
      <c r="I51" s="61">
        <v>0</v>
      </c>
      <c r="J51" s="61"/>
      <c r="K51" s="61"/>
      <c r="L51" s="61">
        <f t="shared" si="5"/>
        <v>0</v>
      </c>
      <c r="M51" s="63" t="e">
        <f t="shared" si="3"/>
        <v>#DIV/0!</v>
      </c>
      <c r="N51" s="61">
        <f t="shared" si="8"/>
        <v>0</v>
      </c>
      <c r="O51" s="63" t="e">
        <f t="shared" si="0"/>
        <v>#DIV/0!</v>
      </c>
      <c r="P51" s="61">
        <f t="shared" si="9"/>
        <v>0</v>
      </c>
      <c r="Q51" s="67"/>
    </row>
    <row r="52" spans="1:17" ht="18.75" customHeight="1" outlineLevel="2" collapsed="1">
      <c r="A52" s="64" t="s">
        <v>78</v>
      </c>
      <c r="B52" s="65" t="s">
        <v>79</v>
      </c>
      <c r="C52" s="59" t="s">
        <v>80</v>
      </c>
      <c r="D52" s="60" t="s">
        <v>78</v>
      </c>
      <c r="E52" s="62">
        <v>63052.38</v>
      </c>
      <c r="F52" s="62">
        <v>-1.34</v>
      </c>
      <c r="G52" s="62">
        <f t="shared" si="6"/>
        <v>-63053.719999999994</v>
      </c>
      <c r="H52" s="63">
        <f t="shared" si="7"/>
        <v>-2.1252171607162175E-05</v>
      </c>
      <c r="I52" s="61">
        <v>63000</v>
      </c>
      <c r="J52" s="61"/>
      <c r="K52" s="62"/>
      <c r="L52" s="61">
        <f t="shared" si="5"/>
        <v>0</v>
      </c>
      <c r="M52" s="63">
        <f t="shared" si="3"/>
        <v>-0.9991480280624205</v>
      </c>
      <c r="N52" s="61">
        <f t="shared" si="8"/>
        <v>-63000</v>
      </c>
      <c r="O52" s="63">
        <f t="shared" si="0"/>
        <v>0</v>
      </c>
      <c r="P52" s="61">
        <f t="shared" si="9"/>
        <v>1.34</v>
      </c>
      <c r="Q52" s="67"/>
    </row>
    <row r="53" spans="1:17" ht="15" customHeight="1" hidden="1" outlineLevel="3">
      <c r="A53" s="64" t="s">
        <v>81</v>
      </c>
      <c r="B53" s="65"/>
      <c r="C53" s="59" t="s">
        <v>23</v>
      </c>
      <c r="D53" s="60" t="s">
        <v>81</v>
      </c>
      <c r="E53" s="61"/>
      <c r="F53" s="61"/>
      <c r="G53" s="62">
        <f t="shared" si="6"/>
        <v>0</v>
      </c>
      <c r="H53" s="63" t="e">
        <f t="shared" si="7"/>
        <v>#DIV/0!</v>
      </c>
      <c r="I53" s="61"/>
      <c r="J53" s="61"/>
      <c r="K53" s="61"/>
      <c r="L53" s="61">
        <f t="shared" si="5"/>
        <v>0</v>
      </c>
      <c r="M53" s="63" t="e">
        <f t="shared" si="3"/>
        <v>#DIV/0!</v>
      </c>
      <c r="N53" s="61">
        <f t="shared" si="8"/>
        <v>0</v>
      </c>
      <c r="O53" s="63" t="e">
        <f t="shared" si="0"/>
        <v>#DIV/0!</v>
      </c>
      <c r="P53" s="61">
        <f t="shared" si="9"/>
        <v>0</v>
      </c>
      <c r="Q53" s="68"/>
    </row>
    <row r="54" spans="1:17" ht="42.75" customHeight="1" hidden="1" outlineLevel="4">
      <c r="A54" s="64" t="s">
        <v>82</v>
      </c>
      <c r="B54" s="65"/>
      <c r="C54" s="59" t="s">
        <v>83</v>
      </c>
      <c r="D54" s="60" t="s">
        <v>82</v>
      </c>
      <c r="E54" s="61"/>
      <c r="F54" s="61"/>
      <c r="G54" s="62">
        <f t="shared" si="6"/>
        <v>0</v>
      </c>
      <c r="H54" s="63" t="e">
        <f t="shared" si="7"/>
        <v>#DIV/0!</v>
      </c>
      <c r="I54" s="61"/>
      <c r="J54" s="61"/>
      <c r="K54" s="61"/>
      <c r="L54" s="61">
        <f t="shared" si="5"/>
        <v>0</v>
      </c>
      <c r="M54" s="63" t="e">
        <f t="shared" si="3"/>
        <v>#DIV/0!</v>
      </c>
      <c r="N54" s="61">
        <f t="shared" si="8"/>
        <v>0</v>
      </c>
      <c r="O54" s="63" t="e">
        <f t="shared" si="0"/>
        <v>#DIV/0!</v>
      </c>
      <c r="P54" s="61">
        <f t="shared" si="9"/>
        <v>0</v>
      </c>
      <c r="Q54" s="68"/>
    </row>
    <row r="55" spans="1:17" ht="42.75" customHeight="1" hidden="1" outlineLevel="5">
      <c r="A55" s="64" t="s">
        <v>82</v>
      </c>
      <c r="B55" s="65"/>
      <c r="C55" s="59" t="s">
        <v>84</v>
      </c>
      <c r="D55" s="60" t="s">
        <v>82</v>
      </c>
      <c r="E55" s="61"/>
      <c r="F55" s="61"/>
      <c r="G55" s="62">
        <f t="shared" si="6"/>
        <v>0</v>
      </c>
      <c r="H55" s="63" t="e">
        <f t="shared" si="7"/>
        <v>#DIV/0!</v>
      </c>
      <c r="I55" s="61"/>
      <c r="J55" s="61"/>
      <c r="K55" s="61"/>
      <c r="L55" s="61">
        <f t="shared" si="5"/>
        <v>0</v>
      </c>
      <c r="M55" s="63" t="e">
        <f t="shared" si="3"/>
        <v>#DIV/0!</v>
      </c>
      <c r="N55" s="61">
        <f t="shared" si="8"/>
        <v>0</v>
      </c>
      <c r="O55" s="63" t="e">
        <f t="shared" si="0"/>
        <v>#DIV/0!</v>
      </c>
      <c r="P55" s="61">
        <f t="shared" si="9"/>
        <v>0</v>
      </c>
      <c r="Q55" s="68"/>
    </row>
    <row r="56" spans="1:17" ht="72" customHeight="1" outlineLevel="2" collapsed="1">
      <c r="A56" s="64" t="s">
        <v>85</v>
      </c>
      <c r="B56" s="65" t="s">
        <v>86</v>
      </c>
      <c r="C56" s="59" t="s">
        <v>87</v>
      </c>
      <c r="D56" s="60" t="s">
        <v>85</v>
      </c>
      <c r="E56" s="61">
        <v>12541592.9</v>
      </c>
      <c r="F56" s="61">
        <v>4158031.63</v>
      </c>
      <c r="G56" s="62">
        <f t="shared" si="6"/>
        <v>-8383561.2700000005</v>
      </c>
      <c r="H56" s="63">
        <f t="shared" si="7"/>
        <v>0.33153935573845644</v>
      </c>
      <c r="I56" s="61">
        <v>12500000</v>
      </c>
      <c r="J56" s="61">
        <v>562898</v>
      </c>
      <c r="K56" s="61">
        <f>-1527636.42+36215.9+37447.03</f>
        <v>-1453973.49</v>
      </c>
      <c r="L56" s="61">
        <f t="shared" si="5"/>
        <v>-2016871.49</v>
      </c>
      <c r="M56" s="63">
        <f t="shared" si="3"/>
        <v>-1.491013138381942</v>
      </c>
      <c r="N56" s="61">
        <f t="shared" si="8"/>
        <v>-13953973.49</v>
      </c>
      <c r="O56" s="63">
        <f t="shared" si="0"/>
        <v>-0.1163178792</v>
      </c>
      <c r="P56" s="61">
        <f t="shared" si="9"/>
        <v>-5612005.12</v>
      </c>
      <c r="Q56" s="66"/>
    </row>
    <row r="57" spans="1:17" ht="15" customHeight="1" hidden="1" outlineLevel="3">
      <c r="A57" s="64" t="s">
        <v>88</v>
      </c>
      <c r="B57" s="65"/>
      <c r="C57" s="59" t="s">
        <v>23</v>
      </c>
      <c r="D57" s="60" t="s">
        <v>88</v>
      </c>
      <c r="E57" s="61">
        <v>401120</v>
      </c>
      <c r="F57" s="61">
        <v>401120</v>
      </c>
      <c r="G57" s="62"/>
      <c r="H57" s="63" t="e">
        <f>E57/#REF!</f>
        <v>#REF!</v>
      </c>
      <c r="I57" s="61">
        <v>8300000</v>
      </c>
      <c r="J57" s="61"/>
      <c r="K57" s="61">
        <v>401120</v>
      </c>
      <c r="L57" s="61"/>
      <c r="M57" s="63" t="e">
        <f t="shared" si="3"/>
        <v>#DIV/0!</v>
      </c>
      <c r="N57" s="61"/>
      <c r="O57" s="63">
        <f t="shared" si="0"/>
        <v>0.04832771084337349</v>
      </c>
      <c r="P57" s="61" t="e">
        <f>E57-#REF!</f>
        <v>#REF!</v>
      </c>
      <c r="Q57" s="68"/>
    </row>
    <row r="58" spans="1:17" ht="85.5" customHeight="1" hidden="1" outlineLevel="4">
      <c r="A58" s="64" t="s">
        <v>89</v>
      </c>
      <c r="B58" s="65"/>
      <c r="C58" s="59" t="s">
        <v>90</v>
      </c>
      <c r="D58" s="60" t="s">
        <v>89</v>
      </c>
      <c r="E58" s="61">
        <v>0</v>
      </c>
      <c r="F58" s="61">
        <v>401120</v>
      </c>
      <c r="G58" s="62"/>
      <c r="H58" s="63" t="e">
        <f>E58/#REF!</f>
        <v>#REF!</v>
      </c>
      <c r="I58" s="61">
        <v>8300000</v>
      </c>
      <c r="J58" s="61"/>
      <c r="K58" s="61">
        <v>401120</v>
      </c>
      <c r="L58" s="61"/>
      <c r="M58" s="63" t="e">
        <f t="shared" si="3"/>
        <v>#DIV/0!</v>
      </c>
      <c r="N58" s="61"/>
      <c r="O58" s="63">
        <f t="shared" si="0"/>
        <v>0.04832771084337349</v>
      </c>
      <c r="P58" s="61" t="e">
        <f>E58-#REF!</f>
        <v>#REF!</v>
      </c>
      <c r="Q58" s="68"/>
    </row>
    <row r="59" spans="1:17" ht="99.75" customHeight="1" hidden="1" outlineLevel="5">
      <c r="A59" s="64" t="s">
        <v>89</v>
      </c>
      <c r="B59" s="65"/>
      <c r="C59" s="59" t="s">
        <v>91</v>
      </c>
      <c r="D59" s="60" t="s">
        <v>89</v>
      </c>
      <c r="E59" s="61">
        <v>401106.8</v>
      </c>
      <c r="F59" s="61">
        <v>0</v>
      </c>
      <c r="G59" s="62"/>
      <c r="H59" s="63" t="e">
        <f>E59/#REF!</f>
        <v>#REF!</v>
      </c>
      <c r="I59" s="61">
        <v>8300000</v>
      </c>
      <c r="J59" s="61"/>
      <c r="K59" s="61">
        <v>0</v>
      </c>
      <c r="L59" s="61"/>
      <c r="M59" s="63" t="e">
        <f t="shared" si="3"/>
        <v>#DIV/0!</v>
      </c>
      <c r="N59" s="61"/>
      <c r="O59" s="63">
        <f t="shared" si="0"/>
        <v>0</v>
      </c>
      <c r="P59" s="61" t="e">
        <f>E59-#REF!</f>
        <v>#REF!</v>
      </c>
      <c r="Q59" s="68"/>
    </row>
    <row r="60" spans="1:17" ht="99.75" customHeight="1" hidden="1" outlineLevel="5">
      <c r="A60" s="64" t="s">
        <v>92</v>
      </c>
      <c r="B60" s="65"/>
      <c r="C60" s="59" t="s">
        <v>91</v>
      </c>
      <c r="D60" s="60" t="s">
        <v>92</v>
      </c>
      <c r="E60" s="61">
        <v>13.2</v>
      </c>
      <c r="F60" s="61">
        <v>401106.8</v>
      </c>
      <c r="G60" s="62"/>
      <c r="H60" s="63" t="e">
        <f>E60/#REF!</f>
        <v>#REF!</v>
      </c>
      <c r="I60" s="61">
        <v>0</v>
      </c>
      <c r="J60" s="61"/>
      <c r="K60" s="61">
        <v>401106.8</v>
      </c>
      <c r="L60" s="61"/>
      <c r="M60" s="63" t="e">
        <f t="shared" si="3"/>
        <v>#DIV/0!</v>
      </c>
      <c r="N60" s="61"/>
      <c r="O60" s="63" t="e">
        <f t="shared" si="0"/>
        <v>#DIV/0!</v>
      </c>
      <c r="P60" s="61" t="e">
        <f>E60-#REF!</f>
        <v>#REF!</v>
      </c>
      <c r="Q60" s="68"/>
    </row>
    <row r="61" spans="1:17" ht="99.75" customHeight="1" hidden="1" outlineLevel="5">
      <c r="A61" s="64" t="s">
        <v>93</v>
      </c>
      <c r="B61" s="65"/>
      <c r="C61" s="59" t="s">
        <v>91</v>
      </c>
      <c r="D61" s="60" t="s">
        <v>93</v>
      </c>
      <c r="E61" s="51">
        <f>E62+E63+E64</f>
        <v>172244710.82</v>
      </c>
      <c r="F61" s="61">
        <v>13.2</v>
      </c>
      <c r="G61" s="62"/>
      <c r="H61" s="63" t="e">
        <f>E61/#REF!</f>
        <v>#REF!</v>
      </c>
      <c r="I61" s="61">
        <v>0</v>
      </c>
      <c r="J61" s="61"/>
      <c r="K61" s="61">
        <v>13.2</v>
      </c>
      <c r="L61" s="61"/>
      <c r="M61" s="63" t="e">
        <f t="shared" si="3"/>
        <v>#DIV/0!</v>
      </c>
      <c r="N61" s="61"/>
      <c r="O61" s="63" t="e">
        <f t="shared" si="0"/>
        <v>#DIV/0!</v>
      </c>
      <c r="P61" s="61" t="e">
        <f>E61-#REF!</f>
        <v>#REF!</v>
      </c>
      <c r="Q61" s="68"/>
    </row>
    <row r="62" spans="1:17" s="32" customFormat="1" ht="22.5" customHeight="1" outlineLevel="1" collapsed="1">
      <c r="A62" s="24" t="s">
        <v>94</v>
      </c>
      <c r="B62" s="48" t="s">
        <v>95</v>
      </c>
      <c r="C62" s="49" t="s">
        <v>96</v>
      </c>
      <c r="D62" s="50" t="s">
        <v>94</v>
      </c>
      <c r="E62" s="51">
        <f>E63+E64+E65</f>
        <v>95317580.9</v>
      </c>
      <c r="F62" s="51">
        <f>F63+F64+F65</f>
        <v>16310811.56</v>
      </c>
      <c r="G62" s="58">
        <f>F62-E62</f>
        <v>-79006769.34</v>
      </c>
      <c r="H62" s="54">
        <f aca="true" t="shared" si="10" ref="H62:H72">F62/E62</f>
        <v>0.17112070413444577</v>
      </c>
      <c r="I62" s="51">
        <f>I63+I64+I65</f>
        <v>78352187.63</v>
      </c>
      <c r="J62" s="51">
        <f>J63+J64+J65</f>
        <v>3543302</v>
      </c>
      <c r="K62" s="51">
        <f>K63+K64+K65</f>
        <v>7339575.51</v>
      </c>
      <c r="L62" s="51">
        <f>K62-J62</f>
        <v>3796273.51</v>
      </c>
      <c r="M62" s="54">
        <f t="shared" si="3"/>
        <v>-0.9917148655049662</v>
      </c>
      <c r="N62" s="51">
        <f>N63+N64+N65</f>
        <v>-71012612.11999999</v>
      </c>
      <c r="O62" s="54">
        <f t="shared" si="0"/>
        <v>0.09367416190929397</v>
      </c>
      <c r="P62" s="51">
        <f aca="true" t="shared" si="11" ref="P62:P72">K62-F62</f>
        <v>-8971236.05</v>
      </c>
      <c r="Q62" s="149" t="s">
        <v>267</v>
      </c>
    </row>
    <row r="63" spans="1:17" ht="28.5" outlineLevel="2">
      <c r="A63" s="64" t="s">
        <v>97</v>
      </c>
      <c r="B63" s="65" t="s">
        <v>98</v>
      </c>
      <c r="C63" s="59" t="s">
        <v>99</v>
      </c>
      <c r="D63" s="60" t="s">
        <v>97</v>
      </c>
      <c r="E63" s="61">
        <v>14947482.35</v>
      </c>
      <c r="F63" s="61">
        <v>959457.4</v>
      </c>
      <c r="G63" s="62">
        <f>F63-E63</f>
        <v>-13988024.95</v>
      </c>
      <c r="H63" s="63">
        <f t="shared" si="10"/>
        <v>0.06418856216277787</v>
      </c>
      <c r="I63" s="61">
        <v>11900000</v>
      </c>
      <c r="J63" s="61">
        <v>80000</v>
      </c>
      <c r="K63" s="61">
        <f>624634.82+44776.18+4165.09</f>
        <v>673576.09</v>
      </c>
      <c r="L63" s="61">
        <f>K63-J63</f>
        <v>593576.09</v>
      </c>
      <c r="M63" s="63">
        <f t="shared" si="3"/>
        <v>-0.8507276790352022</v>
      </c>
      <c r="N63" s="61">
        <f>K63-I63</f>
        <v>-11226423.91</v>
      </c>
      <c r="O63" s="63">
        <f t="shared" si="0"/>
        <v>0.05660303277310924</v>
      </c>
      <c r="P63" s="61">
        <f t="shared" si="11"/>
        <v>-285881.31000000006</v>
      </c>
      <c r="Q63" s="66"/>
    </row>
    <row r="64" spans="1:17" ht="42" customHeight="1" outlineLevel="4">
      <c r="A64" s="64" t="s">
        <v>100</v>
      </c>
      <c r="B64" s="65" t="s">
        <v>101</v>
      </c>
      <c r="C64" s="59" t="s">
        <v>102</v>
      </c>
      <c r="D64" s="60" t="s">
        <v>100</v>
      </c>
      <c r="E64" s="61">
        <v>61979647.57</v>
      </c>
      <c r="F64" s="61">
        <v>14395508.28</v>
      </c>
      <c r="G64" s="62">
        <f>F64-E64</f>
        <v>-47584139.29</v>
      </c>
      <c r="H64" s="63">
        <f t="shared" si="10"/>
        <v>0.23226186085910974</v>
      </c>
      <c r="I64" s="61">
        <v>49452187.63</v>
      </c>
      <c r="J64" s="61">
        <v>3011857</v>
      </c>
      <c r="K64" s="61">
        <f>5661032.29+294567.48</f>
        <v>5955599.77</v>
      </c>
      <c r="L64" s="61">
        <f>K64-J64</f>
        <v>2943742.7699999996</v>
      </c>
      <c r="M64" s="63">
        <f t="shared" si="3"/>
        <v>-1.0392577940438357</v>
      </c>
      <c r="N64" s="61">
        <f>K64-I64</f>
        <v>-43496587.86</v>
      </c>
      <c r="O64" s="63">
        <f t="shared" si="0"/>
        <v>0.12043147240643112</v>
      </c>
      <c r="P64" s="61">
        <f t="shared" si="11"/>
        <v>-8439908.51</v>
      </c>
      <c r="Q64" s="66"/>
    </row>
    <row r="65" spans="1:17" ht="56.25" customHeight="1" outlineLevel="4">
      <c r="A65" s="64" t="s">
        <v>103</v>
      </c>
      <c r="B65" s="65" t="s">
        <v>104</v>
      </c>
      <c r="C65" s="59" t="s">
        <v>105</v>
      </c>
      <c r="D65" s="60" t="s">
        <v>103</v>
      </c>
      <c r="E65" s="61">
        <v>18390450.98</v>
      </c>
      <c r="F65" s="61">
        <v>955845.88</v>
      </c>
      <c r="G65" s="62">
        <f>F65-E65</f>
        <v>-17434605.1</v>
      </c>
      <c r="H65" s="63">
        <f t="shared" si="10"/>
        <v>0.051975119100640996</v>
      </c>
      <c r="I65" s="61">
        <v>17000000</v>
      </c>
      <c r="J65" s="61">
        <v>451445</v>
      </c>
      <c r="K65" s="61">
        <f>581084.1+123233.33+6082.22</f>
        <v>710399.6499999999</v>
      </c>
      <c r="L65" s="61">
        <f>K65-J65</f>
        <v>258954.6499999999</v>
      </c>
      <c r="M65" s="63">
        <f t="shared" si="3"/>
        <v>-0.9750722716398089</v>
      </c>
      <c r="N65" s="61">
        <f>K65-I65</f>
        <v>-16289600.35</v>
      </c>
      <c r="O65" s="63">
        <f t="shared" si="0"/>
        <v>0.04178821470588235</v>
      </c>
      <c r="P65" s="61">
        <f t="shared" si="11"/>
        <v>-245446.2300000001</v>
      </c>
      <c r="Q65" s="66"/>
    </row>
    <row r="66" spans="1:17" s="32" customFormat="1" ht="32.25" customHeight="1" outlineLevel="1">
      <c r="A66" s="24" t="s">
        <v>106</v>
      </c>
      <c r="B66" s="48" t="s">
        <v>107</v>
      </c>
      <c r="C66" s="49" t="s">
        <v>108</v>
      </c>
      <c r="D66" s="50" t="s">
        <v>106</v>
      </c>
      <c r="E66" s="51">
        <f>E67+E72</f>
        <v>10536108.33</v>
      </c>
      <c r="F66" s="51">
        <f>F67+F72</f>
        <v>2611584.14</v>
      </c>
      <c r="G66" s="58">
        <f>G67+G72</f>
        <v>-7924524.1899999995</v>
      </c>
      <c r="H66" s="54">
        <f t="shared" si="10"/>
        <v>0.24786990207417506</v>
      </c>
      <c r="I66" s="51">
        <f>I67+I72</f>
        <v>11535000</v>
      </c>
      <c r="J66" s="51">
        <f>J67+J72</f>
        <v>605206</v>
      </c>
      <c r="K66" s="51">
        <f>K67+K72</f>
        <v>2400025.39</v>
      </c>
      <c r="L66" s="51">
        <f>K66-J66</f>
        <v>1794819.3900000001</v>
      </c>
      <c r="M66" s="54">
        <f t="shared" si="3"/>
        <v>-1.4556078981443554</v>
      </c>
      <c r="N66" s="51">
        <f>N67+N72</f>
        <v>-9134974.61</v>
      </c>
      <c r="O66" s="54">
        <f t="shared" si="0"/>
        <v>0.20806461985262245</v>
      </c>
      <c r="P66" s="51">
        <f t="shared" si="11"/>
        <v>-211558.75</v>
      </c>
      <c r="Q66" s="56"/>
    </row>
    <row r="67" spans="1:17" ht="91.5" customHeight="1" outlineLevel="2">
      <c r="A67" s="64" t="s">
        <v>109</v>
      </c>
      <c r="B67" s="65" t="s">
        <v>110</v>
      </c>
      <c r="C67" s="59" t="s">
        <v>111</v>
      </c>
      <c r="D67" s="60" t="s">
        <v>109</v>
      </c>
      <c r="E67" s="61">
        <v>10431108.33</v>
      </c>
      <c r="F67" s="61">
        <v>2581584.14</v>
      </c>
      <c r="G67" s="62">
        <f aca="true" t="shared" si="12" ref="G67:G72">F67-E67</f>
        <v>-7849524.1899999995</v>
      </c>
      <c r="H67" s="63">
        <f t="shared" si="10"/>
        <v>0.24748895882667918</v>
      </c>
      <c r="I67" s="61">
        <v>11500000</v>
      </c>
      <c r="J67" s="61">
        <v>605206</v>
      </c>
      <c r="K67" s="61">
        <v>2400025.39</v>
      </c>
      <c r="L67" s="61">
        <f>K67-J67</f>
        <v>1794819.3900000001</v>
      </c>
      <c r="M67" s="63">
        <f t="shared" si="3"/>
        <v>-1.4650569539807994</v>
      </c>
      <c r="N67" s="61">
        <f aca="true" t="shared" si="13" ref="N67:N72">K67-I67</f>
        <v>-9099974.61</v>
      </c>
      <c r="O67" s="63">
        <f t="shared" si="0"/>
        <v>0.20869786</v>
      </c>
      <c r="P67" s="61">
        <f t="shared" si="11"/>
        <v>-181558.75</v>
      </c>
      <c r="Q67" s="67"/>
    </row>
    <row r="68" spans="1:17" ht="15" customHeight="1" hidden="1" outlineLevel="3">
      <c r="A68" s="64" t="s">
        <v>112</v>
      </c>
      <c r="B68" s="65"/>
      <c r="C68" s="59" t="s">
        <v>23</v>
      </c>
      <c r="D68" s="60" t="s">
        <v>112</v>
      </c>
      <c r="E68" s="61"/>
      <c r="F68" s="61"/>
      <c r="G68" s="62">
        <f t="shared" si="12"/>
        <v>0</v>
      </c>
      <c r="H68" s="63" t="e">
        <f t="shared" si="10"/>
        <v>#DIV/0!</v>
      </c>
      <c r="I68" s="61"/>
      <c r="J68" s="61"/>
      <c r="K68" s="61"/>
      <c r="L68" s="61">
        <f>I68-G68</f>
        <v>0</v>
      </c>
      <c r="M68" s="63" t="e">
        <f t="shared" si="3"/>
        <v>#DIV/0!</v>
      </c>
      <c r="N68" s="61">
        <f t="shared" si="13"/>
        <v>0</v>
      </c>
      <c r="O68" s="63" t="e">
        <f t="shared" si="0"/>
        <v>#DIV/0!</v>
      </c>
      <c r="P68" s="61">
        <f t="shared" si="11"/>
        <v>0</v>
      </c>
      <c r="Q68" s="68"/>
    </row>
    <row r="69" spans="1:17" ht="114" customHeight="1" hidden="1" outlineLevel="4">
      <c r="A69" s="64" t="s">
        <v>113</v>
      </c>
      <c r="B69" s="65"/>
      <c r="C69" s="59" t="s">
        <v>114</v>
      </c>
      <c r="D69" s="60" t="s">
        <v>113</v>
      </c>
      <c r="E69" s="61"/>
      <c r="F69" s="61"/>
      <c r="G69" s="62">
        <f t="shared" si="12"/>
        <v>0</v>
      </c>
      <c r="H69" s="63" t="e">
        <f t="shared" si="10"/>
        <v>#DIV/0!</v>
      </c>
      <c r="I69" s="61"/>
      <c r="J69" s="61"/>
      <c r="K69" s="61"/>
      <c r="L69" s="61">
        <f>I69-G69</f>
        <v>0</v>
      </c>
      <c r="M69" s="63" t="e">
        <f t="shared" si="3"/>
        <v>#DIV/0!</v>
      </c>
      <c r="N69" s="61">
        <f t="shared" si="13"/>
        <v>0</v>
      </c>
      <c r="O69" s="63" t="e">
        <f t="shared" si="0"/>
        <v>#DIV/0!</v>
      </c>
      <c r="P69" s="61">
        <f t="shared" si="11"/>
        <v>0</v>
      </c>
      <c r="Q69" s="68"/>
    </row>
    <row r="70" spans="1:17" ht="128.25" customHeight="1" hidden="1" outlineLevel="5">
      <c r="A70" s="64" t="s">
        <v>113</v>
      </c>
      <c r="B70" s="65"/>
      <c r="C70" s="59" t="s">
        <v>115</v>
      </c>
      <c r="D70" s="60" t="s">
        <v>113</v>
      </c>
      <c r="E70" s="61"/>
      <c r="F70" s="61"/>
      <c r="G70" s="62">
        <f t="shared" si="12"/>
        <v>0</v>
      </c>
      <c r="H70" s="63" t="e">
        <f t="shared" si="10"/>
        <v>#DIV/0!</v>
      </c>
      <c r="I70" s="61"/>
      <c r="J70" s="61"/>
      <c r="K70" s="61"/>
      <c r="L70" s="61">
        <f>I70-G70</f>
        <v>0</v>
      </c>
      <c r="M70" s="63" t="e">
        <f t="shared" si="3"/>
        <v>#DIV/0!</v>
      </c>
      <c r="N70" s="61">
        <f t="shared" si="13"/>
        <v>0</v>
      </c>
      <c r="O70" s="63" t="e">
        <f t="shared" si="0"/>
        <v>#DIV/0!</v>
      </c>
      <c r="P70" s="61">
        <f t="shared" si="11"/>
        <v>0</v>
      </c>
      <c r="Q70" s="68"/>
    </row>
    <row r="71" spans="1:17" ht="171" customHeight="1" hidden="1" outlineLevel="5">
      <c r="A71" s="64" t="s">
        <v>116</v>
      </c>
      <c r="B71" s="65"/>
      <c r="C71" s="59" t="s">
        <v>117</v>
      </c>
      <c r="D71" s="60" t="s">
        <v>116</v>
      </c>
      <c r="E71" s="61"/>
      <c r="F71" s="61"/>
      <c r="G71" s="62">
        <f t="shared" si="12"/>
        <v>0</v>
      </c>
      <c r="H71" s="63" t="e">
        <f t="shared" si="10"/>
        <v>#DIV/0!</v>
      </c>
      <c r="I71" s="61"/>
      <c r="J71" s="61"/>
      <c r="K71" s="61"/>
      <c r="L71" s="61">
        <f>I71-G71</f>
        <v>0</v>
      </c>
      <c r="M71" s="63" t="e">
        <f t="shared" si="3"/>
        <v>#DIV/0!</v>
      </c>
      <c r="N71" s="61">
        <f t="shared" si="13"/>
        <v>0</v>
      </c>
      <c r="O71" s="63" t="e">
        <f t="shared" si="0"/>
        <v>#DIV/0!</v>
      </c>
      <c r="P71" s="61">
        <f t="shared" si="11"/>
        <v>0</v>
      </c>
      <c r="Q71" s="68"/>
    </row>
    <row r="72" spans="1:17" ht="78.75" customHeight="1" outlineLevel="2" collapsed="1">
      <c r="A72" s="64" t="s">
        <v>118</v>
      </c>
      <c r="B72" s="65" t="s">
        <v>119</v>
      </c>
      <c r="C72" s="59" t="s">
        <v>120</v>
      </c>
      <c r="D72" s="60" t="s">
        <v>118</v>
      </c>
      <c r="E72" s="62">
        <v>105000</v>
      </c>
      <c r="F72" s="62">
        <v>30000</v>
      </c>
      <c r="G72" s="62">
        <f t="shared" si="12"/>
        <v>-75000</v>
      </c>
      <c r="H72" s="63">
        <f t="shared" si="10"/>
        <v>0.2857142857142857</v>
      </c>
      <c r="I72" s="61">
        <v>35000</v>
      </c>
      <c r="J72" s="61"/>
      <c r="K72" s="62"/>
      <c r="L72" s="61">
        <f>K72-J72</f>
        <v>0</v>
      </c>
      <c r="M72" s="63">
        <f t="shared" si="3"/>
        <v>-0.4666666666666667</v>
      </c>
      <c r="N72" s="61">
        <f t="shared" si="13"/>
        <v>-35000</v>
      </c>
      <c r="O72" s="63">
        <f t="shared" si="0"/>
        <v>0</v>
      </c>
      <c r="P72" s="61">
        <f t="shared" si="11"/>
        <v>-30000</v>
      </c>
      <c r="Q72" s="66"/>
    </row>
    <row r="73" spans="1:17" ht="15" customHeight="1" hidden="1" outlineLevel="3">
      <c r="A73" s="64" t="s">
        <v>121</v>
      </c>
      <c r="B73" s="65"/>
      <c r="C73" s="59" t="s">
        <v>23</v>
      </c>
      <c r="D73" s="60" t="s">
        <v>121</v>
      </c>
      <c r="E73" s="61">
        <v>0</v>
      </c>
      <c r="F73" s="61">
        <v>0</v>
      </c>
      <c r="G73" s="62"/>
      <c r="H73" s="63" t="e">
        <f>E73/#REF!</f>
        <v>#REF!</v>
      </c>
      <c r="I73" s="61">
        <v>60000</v>
      </c>
      <c r="J73" s="61"/>
      <c r="K73" s="61">
        <v>0</v>
      </c>
      <c r="L73" s="61"/>
      <c r="M73" s="63" t="e">
        <f t="shared" si="3"/>
        <v>#DIV/0!</v>
      </c>
      <c r="N73" s="61"/>
      <c r="O73" s="63">
        <f t="shared" si="0"/>
        <v>0</v>
      </c>
      <c r="P73" s="61" t="e">
        <f>E73-#REF!</f>
        <v>#REF!</v>
      </c>
      <c r="Q73" s="68"/>
    </row>
    <row r="74" spans="1:17" ht="57" customHeight="1" hidden="1" outlineLevel="4">
      <c r="A74" s="64" t="s">
        <v>122</v>
      </c>
      <c r="B74" s="65"/>
      <c r="C74" s="59" t="s">
        <v>123</v>
      </c>
      <c r="D74" s="60" t="s">
        <v>122</v>
      </c>
      <c r="E74" s="61">
        <v>0</v>
      </c>
      <c r="F74" s="61">
        <v>0</v>
      </c>
      <c r="G74" s="62"/>
      <c r="H74" s="63" t="e">
        <f>E74/#REF!</f>
        <v>#REF!</v>
      </c>
      <c r="I74" s="61">
        <v>60000</v>
      </c>
      <c r="J74" s="61"/>
      <c r="K74" s="61">
        <v>0</v>
      </c>
      <c r="L74" s="61"/>
      <c r="M74" s="63" t="e">
        <f t="shared" si="3"/>
        <v>#DIV/0!</v>
      </c>
      <c r="N74" s="61"/>
      <c r="O74" s="63">
        <f t="shared" si="0"/>
        <v>0</v>
      </c>
      <c r="P74" s="61" t="e">
        <f>E74-#REF!</f>
        <v>#REF!</v>
      </c>
      <c r="Q74" s="68"/>
    </row>
    <row r="75" spans="1:17" ht="71.25" customHeight="1" hidden="1" outlineLevel="5">
      <c r="A75" s="64" t="s">
        <v>122</v>
      </c>
      <c r="B75" s="65"/>
      <c r="C75" s="59" t="s">
        <v>124</v>
      </c>
      <c r="D75" s="60" t="s">
        <v>122</v>
      </c>
      <c r="E75" s="51">
        <v>-23389.69</v>
      </c>
      <c r="F75" s="61">
        <v>0</v>
      </c>
      <c r="G75" s="62"/>
      <c r="H75" s="63" t="e">
        <f>E75/#REF!</f>
        <v>#REF!</v>
      </c>
      <c r="I75" s="61">
        <v>60000</v>
      </c>
      <c r="J75" s="61"/>
      <c r="K75" s="61">
        <v>0</v>
      </c>
      <c r="L75" s="61"/>
      <c r="M75" s="63" t="e">
        <f t="shared" si="3"/>
        <v>#DIV/0!</v>
      </c>
      <c r="N75" s="61"/>
      <c r="O75" s="63">
        <f t="shared" si="0"/>
        <v>0</v>
      </c>
      <c r="P75" s="61" t="e">
        <f>E75-#REF!</f>
        <v>#REF!</v>
      </c>
      <c r="Q75" s="68"/>
    </row>
    <row r="76" spans="1:17" s="32" customFormat="1" ht="83.25" customHeight="1" outlineLevel="1" collapsed="1">
      <c r="A76" s="24" t="s">
        <v>125</v>
      </c>
      <c r="B76" s="48" t="s">
        <v>126</v>
      </c>
      <c r="C76" s="49" t="s">
        <v>127</v>
      </c>
      <c r="D76" s="50" t="s">
        <v>125</v>
      </c>
      <c r="E76" s="51">
        <v>-23389.69</v>
      </c>
      <c r="F76" s="51">
        <v>3014.2</v>
      </c>
      <c r="G76" s="58">
        <f>F76-E76</f>
        <v>26403.89</v>
      </c>
      <c r="H76" s="54">
        <f>F76/E76</f>
        <v>-0.12886874516079522</v>
      </c>
      <c r="I76" s="51"/>
      <c r="J76" s="51"/>
      <c r="K76" s="51">
        <v>942.29</v>
      </c>
      <c r="L76" s="51">
        <f>K76-J76</f>
        <v>942.29</v>
      </c>
      <c r="M76" s="54"/>
      <c r="N76" s="51"/>
      <c r="O76" s="54"/>
      <c r="P76" s="51">
        <f>K76-F76</f>
        <v>-2071.91</v>
      </c>
      <c r="Q76" s="56"/>
    </row>
    <row r="77" spans="1:17" s="32" customFormat="1" ht="15.75" customHeight="1" hidden="1" outlineLevel="3">
      <c r="A77" s="24" t="s">
        <v>128</v>
      </c>
      <c r="B77" s="48"/>
      <c r="C77" s="49" t="s">
        <v>23</v>
      </c>
      <c r="D77" s="50" t="s">
        <v>128</v>
      </c>
      <c r="E77" s="51">
        <v>78.92</v>
      </c>
      <c r="F77" s="51">
        <v>78.92</v>
      </c>
      <c r="G77" s="58"/>
      <c r="H77" s="54" t="e">
        <f>E77/#REF!</f>
        <v>#REF!</v>
      </c>
      <c r="I77" s="51">
        <v>0</v>
      </c>
      <c r="J77" s="51"/>
      <c r="K77" s="51">
        <v>78.92</v>
      </c>
      <c r="L77" s="51"/>
      <c r="M77" s="54" t="e">
        <f>I77/G77</f>
        <v>#DIV/0!</v>
      </c>
      <c r="N77" s="51"/>
      <c r="O77" s="54" t="e">
        <f t="shared" si="0"/>
        <v>#DIV/0!</v>
      </c>
      <c r="P77" s="51" t="e">
        <f>E77-#REF!</f>
        <v>#REF!</v>
      </c>
      <c r="Q77" s="69"/>
    </row>
    <row r="78" spans="1:17" s="32" customFormat="1" ht="180" customHeight="1" hidden="1" outlineLevel="4">
      <c r="A78" s="24" t="s">
        <v>129</v>
      </c>
      <c r="B78" s="48"/>
      <c r="C78" s="49" t="s">
        <v>130</v>
      </c>
      <c r="D78" s="50" t="s">
        <v>129</v>
      </c>
      <c r="E78" s="51">
        <v>78.92</v>
      </c>
      <c r="F78" s="51">
        <v>78.92</v>
      </c>
      <c r="G78" s="58"/>
      <c r="H78" s="54" t="e">
        <f>E78/#REF!</f>
        <v>#REF!</v>
      </c>
      <c r="I78" s="51">
        <v>0</v>
      </c>
      <c r="J78" s="51"/>
      <c r="K78" s="51">
        <v>78.92</v>
      </c>
      <c r="L78" s="51"/>
      <c r="M78" s="54" t="e">
        <f>I78/G78</f>
        <v>#DIV/0!</v>
      </c>
      <c r="N78" s="51"/>
      <c r="O78" s="54" t="e">
        <f t="shared" si="0"/>
        <v>#DIV/0!</v>
      </c>
      <c r="P78" s="51" t="e">
        <f>E78-#REF!</f>
        <v>#REF!</v>
      </c>
      <c r="Q78" s="69"/>
    </row>
    <row r="79" spans="1:17" s="32" customFormat="1" ht="180" customHeight="1" hidden="1" outlineLevel="5">
      <c r="A79" s="24" t="s">
        <v>131</v>
      </c>
      <c r="B79" s="48"/>
      <c r="C79" s="49" t="s">
        <v>132</v>
      </c>
      <c r="D79" s="50" t="s">
        <v>131</v>
      </c>
      <c r="E79" s="72">
        <f>E80+E89+E105+E108+E111+E112</f>
        <v>106887173.90000002</v>
      </c>
      <c r="F79" s="51">
        <v>78.92</v>
      </c>
      <c r="G79" s="58"/>
      <c r="H79" s="54" t="e">
        <f>E79/#REF!</f>
        <v>#REF!</v>
      </c>
      <c r="I79" s="51">
        <v>0</v>
      </c>
      <c r="J79" s="51"/>
      <c r="K79" s="51">
        <v>78.92</v>
      </c>
      <c r="L79" s="51"/>
      <c r="M79" s="54" t="e">
        <f>I79/G79</f>
        <v>#DIV/0!</v>
      </c>
      <c r="N79" s="51"/>
      <c r="O79" s="54" t="e">
        <f>K79/I79</f>
        <v>#DIV/0!</v>
      </c>
      <c r="P79" s="51" t="e">
        <f>E79-#REF!</f>
        <v>#REF!</v>
      </c>
      <c r="Q79" s="69"/>
    </row>
    <row r="80" spans="1:17" s="32" customFormat="1" ht="39" customHeight="1" outlineLevel="5">
      <c r="A80" s="24"/>
      <c r="B80" s="48" t="s">
        <v>133</v>
      </c>
      <c r="C80" s="70" t="s">
        <v>134</v>
      </c>
      <c r="D80" s="71"/>
      <c r="E80" s="72">
        <f>E81+E90+E106+E109+E112+E113</f>
        <v>73494552.89</v>
      </c>
      <c r="F80" s="72">
        <f>F81+F90+F106+F109+F112+F113</f>
        <v>14516553.95</v>
      </c>
      <c r="G80" s="72">
        <f>G81+G90+G106+G109+G112+G113</f>
        <v>-58737165.800000004</v>
      </c>
      <c r="H80" s="72">
        <f>F80/E80</f>
        <v>0.19751877355764128</v>
      </c>
      <c r="I80" s="72">
        <f>I81+I90+I106+I109+I112+I113</f>
        <v>60969508.61</v>
      </c>
      <c r="J80" s="72">
        <f>J81+J90+J106+J109+J112+J113</f>
        <v>2230316.48</v>
      </c>
      <c r="K80" s="72">
        <f>K81+K90+K106+K109+K112+K113</f>
        <v>41756834</v>
      </c>
      <c r="L80" s="72">
        <f>K80-J80</f>
        <v>39526517.52</v>
      </c>
      <c r="M80" s="72" t="e">
        <f>M81+M90+M106+M109+M112+M113</f>
        <v>#DIV/0!</v>
      </c>
      <c r="N80" s="72">
        <f>N81+N90+N106+N109+N112+N113</f>
        <v>-19212674.610000003</v>
      </c>
      <c r="O80" s="156">
        <f aca="true" t="shared" si="14" ref="O80:O127">K80/I80</f>
        <v>0.684880605928833</v>
      </c>
      <c r="P80" s="72">
        <f>K80-F80</f>
        <v>27240280.05</v>
      </c>
      <c r="Q80" s="56"/>
    </row>
    <row r="81" spans="1:17" s="32" customFormat="1" ht="72" customHeight="1" outlineLevel="1">
      <c r="A81" s="24" t="s">
        <v>135</v>
      </c>
      <c r="B81" s="48" t="s">
        <v>136</v>
      </c>
      <c r="C81" s="49" t="s">
        <v>137</v>
      </c>
      <c r="D81" s="50" t="s">
        <v>135</v>
      </c>
      <c r="E81" s="51">
        <f>E82+E83+E84+E85+E89</f>
        <v>37416244.75</v>
      </c>
      <c r="F81" s="51">
        <f>F82+F83+F84+F85+F89</f>
        <v>5868334.53</v>
      </c>
      <c r="G81" s="58">
        <f>G82+G83+G85+G89</f>
        <v>-31518670.08</v>
      </c>
      <c r="H81" s="54">
        <f>F81/E81</f>
        <v>0.15683921700881007</v>
      </c>
      <c r="I81" s="51">
        <f>I82+I83+I84+I85+I89</f>
        <v>26290475.19</v>
      </c>
      <c r="J81" s="51">
        <f>J82+J83+J84+J85+J89</f>
        <v>859800</v>
      </c>
      <c r="K81" s="51">
        <f>K82+K83+K84+K85+K89</f>
        <v>5109937.61</v>
      </c>
      <c r="L81" s="51">
        <f>K81-J81</f>
        <v>4250137.61</v>
      </c>
      <c r="M81" s="54">
        <f>I81/G81</f>
        <v>-0.8341238739854852</v>
      </c>
      <c r="N81" s="51">
        <f>N82+N83+N84+N85+N89</f>
        <v>-21180537.580000002</v>
      </c>
      <c r="O81" s="54">
        <f t="shared" si="14"/>
        <v>0.19436459680057994</v>
      </c>
      <c r="P81" s="51">
        <f>K81-F81</f>
        <v>-758396.9199999999</v>
      </c>
      <c r="Q81" s="56"/>
    </row>
    <row r="82" spans="1:17" ht="66.75" customHeight="1" outlineLevel="4">
      <c r="A82" s="64" t="s">
        <v>138</v>
      </c>
      <c r="B82" s="65" t="s">
        <v>139</v>
      </c>
      <c r="C82" s="59" t="s">
        <v>140</v>
      </c>
      <c r="D82" s="60" t="s">
        <v>138</v>
      </c>
      <c r="E82" s="61">
        <v>24363527.29</v>
      </c>
      <c r="F82" s="61">
        <v>3901098.68</v>
      </c>
      <c r="G82" s="62">
        <f>F82-E82</f>
        <v>-20462428.61</v>
      </c>
      <c r="H82" s="63">
        <f>F82/E82</f>
        <v>0.1601204387839689</v>
      </c>
      <c r="I82" s="61">
        <v>15000000</v>
      </c>
      <c r="J82" s="61">
        <v>350000</v>
      </c>
      <c r="K82" s="61">
        <v>3506598.23</v>
      </c>
      <c r="L82" s="61">
        <f>K82-J82</f>
        <v>3156598.23</v>
      </c>
      <c r="M82" s="63">
        <f>I82/G82</f>
        <v>-0.7330508164934778</v>
      </c>
      <c r="N82" s="61">
        <f>K82-I82</f>
        <v>-11493401.77</v>
      </c>
      <c r="O82" s="63">
        <f t="shared" si="14"/>
        <v>0.23377321533333334</v>
      </c>
      <c r="P82" s="61">
        <f>K82-F82</f>
        <v>-394500.4500000002</v>
      </c>
      <c r="Q82" s="66" t="s">
        <v>268</v>
      </c>
    </row>
    <row r="83" spans="1:17" ht="61.5" customHeight="1" outlineLevel="4">
      <c r="A83" s="64" t="s">
        <v>141</v>
      </c>
      <c r="B83" s="65" t="s">
        <v>142</v>
      </c>
      <c r="C83" s="59" t="s">
        <v>143</v>
      </c>
      <c r="D83" s="60" t="s">
        <v>141</v>
      </c>
      <c r="E83" s="61">
        <v>977974.72</v>
      </c>
      <c r="F83" s="61">
        <v>231933.97</v>
      </c>
      <c r="G83" s="62">
        <f aca="true" t="shared" si="15" ref="G83:G89">F83-E83</f>
        <v>-746040.75</v>
      </c>
      <c r="H83" s="63">
        <f aca="true" t="shared" si="16" ref="H83:H89">F83/E83</f>
        <v>0.237157428772801</v>
      </c>
      <c r="I83" s="61">
        <v>987235.05</v>
      </c>
      <c r="J83" s="61">
        <v>109800</v>
      </c>
      <c r="K83" s="61">
        <v>275553.47</v>
      </c>
      <c r="L83" s="61">
        <f aca="true" t="shared" si="17" ref="L83:L89">K83-J83</f>
        <v>165753.46999999997</v>
      </c>
      <c r="M83" s="63">
        <f>I83/G83</f>
        <v>-1.323299095927401</v>
      </c>
      <c r="N83" s="61">
        <f aca="true" t="shared" si="18" ref="N83:N89">K83-I83</f>
        <v>-711681.5800000001</v>
      </c>
      <c r="O83" s="63">
        <f t="shared" si="14"/>
        <v>0.27911637659136995</v>
      </c>
      <c r="P83" s="61">
        <f aca="true" t="shared" si="19" ref="P83:P89">K83-F83</f>
        <v>43619.49999999997</v>
      </c>
      <c r="Q83" s="66"/>
    </row>
    <row r="84" spans="1:17" ht="108" customHeight="1" outlineLevel="4">
      <c r="A84" s="64"/>
      <c r="B84" s="65" t="s">
        <v>144</v>
      </c>
      <c r="C84" s="59" t="s">
        <v>145</v>
      </c>
      <c r="D84" s="60" t="s">
        <v>146</v>
      </c>
      <c r="E84" s="61">
        <v>58480.28</v>
      </c>
      <c r="F84" s="61">
        <v>29240.14</v>
      </c>
      <c r="G84" s="62">
        <f t="shared" si="15"/>
        <v>-29240.14</v>
      </c>
      <c r="H84" s="63">
        <f t="shared" si="16"/>
        <v>0.5</v>
      </c>
      <c r="I84" s="61">
        <v>29240.14</v>
      </c>
      <c r="J84" s="61"/>
      <c r="K84" s="61">
        <v>27691.96</v>
      </c>
      <c r="L84" s="61">
        <f t="shared" si="17"/>
        <v>27691.96</v>
      </c>
      <c r="M84" s="63"/>
      <c r="N84" s="61">
        <f t="shared" si="18"/>
        <v>-1548.1800000000003</v>
      </c>
      <c r="O84" s="63">
        <f t="shared" si="14"/>
        <v>0.9470529210872451</v>
      </c>
      <c r="P84" s="61">
        <f t="shared" si="19"/>
        <v>-1548.1800000000003</v>
      </c>
      <c r="Q84" s="73" t="s">
        <v>147</v>
      </c>
    </row>
    <row r="85" spans="1:17" ht="38.25" customHeight="1" outlineLevel="2">
      <c r="A85" s="64" t="s">
        <v>148</v>
      </c>
      <c r="B85" s="65" t="s">
        <v>149</v>
      </c>
      <c r="C85" s="59" t="s">
        <v>150</v>
      </c>
      <c r="D85" s="60" t="s">
        <v>148</v>
      </c>
      <c r="E85" s="62">
        <v>5843542.64</v>
      </c>
      <c r="F85" s="62"/>
      <c r="G85" s="62">
        <f t="shared" si="15"/>
        <v>-5843542.64</v>
      </c>
      <c r="H85" s="63">
        <f t="shared" si="16"/>
        <v>0</v>
      </c>
      <c r="I85" s="61">
        <v>4966000</v>
      </c>
      <c r="J85" s="61"/>
      <c r="K85" s="62"/>
      <c r="L85" s="61">
        <f t="shared" si="17"/>
        <v>0</v>
      </c>
      <c r="M85" s="63">
        <f aca="true" t="shared" si="20" ref="M85:M112">I85/G85</f>
        <v>-0.8498269467577634</v>
      </c>
      <c r="N85" s="61">
        <f t="shared" si="18"/>
        <v>-4966000</v>
      </c>
      <c r="O85" s="63">
        <f t="shared" si="14"/>
        <v>0</v>
      </c>
      <c r="P85" s="61">
        <f t="shared" si="19"/>
        <v>0</v>
      </c>
      <c r="Q85" s="66" t="s">
        <v>257</v>
      </c>
    </row>
    <row r="86" spans="1:17" ht="15" customHeight="1" hidden="1" outlineLevel="3">
      <c r="A86" s="64" t="s">
        <v>151</v>
      </c>
      <c r="B86" s="65"/>
      <c r="C86" s="59" t="s">
        <v>23</v>
      </c>
      <c r="D86" s="60" t="s">
        <v>151</v>
      </c>
      <c r="E86" s="61"/>
      <c r="F86" s="61"/>
      <c r="G86" s="62">
        <f t="shared" si="15"/>
        <v>0</v>
      </c>
      <c r="H86" s="63" t="e">
        <f t="shared" si="16"/>
        <v>#DIV/0!</v>
      </c>
      <c r="I86" s="61"/>
      <c r="J86" s="61"/>
      <c r="K86" s="61"/>
      <c r="L86" s="61">
        <f t="shared" si="17"/>
        <v>0</v>
      </c>
      <c r="M86" s="63" t="e">
        <f t="shared" si="20"/>
        <v>#DIV/0!</v>
      </c>
      <c r="N86" s="61">
        <f t="shared" si="18"/>
        <v>0</v>
      </c>
      <c r="O86" s="63" t="e">
        <f t="shared" si="14"/>
        <v>#DIV/0!</v>
      </c>
      <c r="P86" s="61">
        <f t="shared" si="19"/>
        <v>0</v>
      </c>
      <c r="Q86" s="68"/>
    </row>
    <row r="87" spans="1:17" ht="128.25" customHeight="1" hidden="1" outlineLevel="4">
      <c r="A87" s="64" t="s">
        <v>152</v>
      </c>
      <c r="B87" s="65"/>
      <c r="C87" s="59" t="s">
        <v>153</v>
      </c>
      <c r="D87" s="60" t="s">
        <v>152</v>
      </c>
      <c r="E87" s="61"/>
      <c r="F87" s="61"/>
      <c r="G87" s="62">
        <f t="shared" si="15"/>
        <v>0</v>
      </c>
      <c r="H87" s="63" t="e">
        <f t="shared" si="16"/>
        <v>#DIV/0!</v>
      </c>
      <c r="I87" s="61"/>
      <c r="J87" s="61"/>
      <c r="K87" s="61"/>
      <c r="L87" s="61">
        <f t="shared" si="17"/>
        <v>0</v>
      </c>
      <c r="M87" s="63" t="e">
        <f t="shared" si="20"/>
        <v>#DIV/0!</v>
      </c>
      <c r="N87" s="61">
        <f t="shared" si="18"/>
        <v>0</v>
      </c>
      <c r="O87" s="63" t="e">
        <f t="shared" si="14"/>
        <v>#DIV/0!</v>
      </c>
      <c r="P87" s="61">
        <f t="shared" si="19"/>
        <v>0</v>
      </c>
      <c r="Q87" s="68"/>
    </row>
    <row r="88" spans="1:17" ht="128.25" customHeight="1" hidden="1" outlineLevel="5">
      <c r="A88" s="64" t="s">
        <v>152</v>
      </c>
      <c r="B88" s="65"/>
      <c r="C88" s="59" t="s">
        <v>154</v>
      </c>
      <c r="D88" s="60" t="s">
        <v>152</v>
      </c>
      <c r="E88" s="61"/>
      <c r="F88" s="61"/>
      <c r="G88" s="62">
        <f t="shared" si="15"/>
        <v>0</v>
      </c>
      <c r="H88" s="63" t="e">
        <f t="shared" si="16"/>
        <v>#DIV/0!</v>
      </c>
      <c r="I88" s="61"/>
      <c r="J88" s="61"/>
      <c r="K88" s="61"/>
      <c r="L88" s="61">
        <f t="shared" si="17"/>
        <v>0</v>
      </c>
      <c r="M88" s="63" t="e">
        <f t="shared" si="20"/>
        <v>#DIV/0!</v>
      </c>
      <c r="N88" s="61">
        <f t="shared" si="18"/>
        <v>0</v>
      </c>
      <c r="O88" s="63" t="e">
        <f t="shared" si="14"/>
        <v>#DIV/0!</v>
      </c>
      <c r="P88" s="61">
        <f t="shared" si="19"/>
        <v>0</v>
      </c>
      <c r="Q88" s="68"/>
    </row>
    <row r="89" spans="1:17" ht="69.75" customHeight="1" outlineLevel="2" collapsed="1">
      <c r="A89" s="64" t="s">
        <v>155</v>
      </c>
      <c r="B89" s="65" t="s">
        <v>156</v>
      </c>
      <c r="C89" s="59" t="s">
        <v>157</v>
      </c>
      <c r="D89" s="60" t="s">
        <v>155</v>
      </c>
      <c r="E89" s="61">
        <v>6172719.82</v>
      </c>
      <c r="F89" s="61">
        <v>1706061.74</v>
      </c>
      <c r="G89" s="62">
        <f t="shared" si="15"/>
        <v>-4466658.08</v>
      </c>
      <c r="H89" s="63">
        <f t="shared" si="16"/>
        <v>0.2763873607987605</v>
      </c>
      <c r="I89" s="61">
        <v>5308000</v>
      </c>
      <c r="J89" s="61">
        <v>400000</v>
      </c>
      <c r="K89" s="61">
        <v>1300093.95</v>
      </c>
      <c r="L89" s="61">
        <f t="shared" si="17"/>
        <v>900093.95</v>
      </c>
      <c r="M89" s="63">
        <f t="shared" si="20"/>
        <v>-1.1883604934452472</v>
      </c>
      <c r="N89" s="61">
        <f t="shared" si="18"/>
        <v>-4007906.05</v>
      </c>
      <c r="O89" s="63">
        <f t="shared" si="14"/>
        <v>0.24493103805576488</v>
      </c>
      <c r="P89" s="61">
        <f t="shared" si="19"/>
        <v>-405967.79000000004</v>
      </c>
      <c r="Q89" s="66"/>
    </row>
    <row r="90" spans="1:17" s="32" customFormat="1" ht="98.25" customHeight="1" outlineLevel="1">
      <c r="A90" s="24" t="s">
        <v>158</v>
      </c>
      <c r="B90" s="48" t="s">
        <v>159</v>
      </c>
      <c r="C90" s="49" t="s">
        <v>160</v>
      </c>
      <c r="D90" s="50" t="s">
        <v>158</v>
      </c>
      <c r="E90" s="51">
        <v>485335.25</v>
      </c>
      <c r="F90" s="51">
        <v>54832.08</v>
      </c>
      <c r="G90" s="58">
        <f>F90-E90</f>
        <v>-430503.17</v>
      </c>
      <c r="H90" s="54">
        <f>F90/E90</f>
        <v>0.11297774064422479</v>
      </c>
      <c r="I90" s="51">
        <v>231800</v>
      </c>
      <c r="J90" s="51">
        <v>0</v>
      </c>
      <c r="K90" s="51">
        <f>144363.36+33.88</f>
        <v>144397.24</v>
      </c>
      <c r="L90" s="51">
        <f>K90-J90</f>
        <v>144397.24</v>
      </c>
      <c r="M90" s="54">
        <f t="shared" si="20"/>
        <v>-0.5384397053336448</v>
      </c>
      <c r="N90" s="51">
        <f>K90-I90</f>
        <v>-87402.76000000001</v>
      </c>
      <c r="O90" s="54">
        <f t="shared" si="14"/>
        <v>0.6229389128559102</v>
      </c>
      <c r="P90" s="51">
        <f>K90-F90</f>
        <v>89565.15999999999</v>
      </c>
      <c r="Q90" s="74"/>
    </row>
    <row r="91" spans="1:17" s="32" customFormat="1" ht="15.75" customHeight="1" hidden="1" outlineLevel="3">
      <c r="A91" s="24" t="s">
        <v>161</v>
      </c>
      <c r="B91" s="48"/>
      <c r="C91" s="49" t="s">
        <v>23</v>
      </c>
      <c r="D91" s="50" t="s">
        <v>161</v>
      </c>
      <c r="E91" s="51">
        <v>2890.68</v>
      </c>
      <c r="F91" s="51">
        <v>2890.68</v>
      </c>
      <c r="G91" s="58"/>
      <c r="H91" s="54">
        <f aca="true" t="shared" si="21" ref="H91:H130">F91/E91</f>
        <v>1</v>
      </c>
      <c r="I91" s="51">
        <v>33800</v>
      </c>
      <c r="J91" s="51"/>
      <c r="K91" s="51">
        <v>2890.68</v>
      </c>
      <c r="L91" s="51">
        <f aca="true" t="shared" si="22" ref="L91:L120">K91-J91</f>
        <v>2890.68</v>
      </c>
      <c r="M91" s="54" t="e">
        <f t="shared" si="20"/>
        <v>#DIV/0!</v>
      </c>
      <c r="N91" s="51">
        <f aca="true" t="shared" si="23" ref="N91:N106">K91-I91</f>
        <v>-30909.32</v>
      </c>
      <c r="O91" s="54">
        <f t="shared" si="14"/>
        <v>0.08552307692307692</v>
      </c>
      <c r="P91" s="51">
        <f aca="true" t="shared" si="24" ref="P91:P130">K91-F91</f>
        <v>0</v>
      </c>
      <c r="Q91" s="69"/>
    </row>
    <row r="92" spans="1:17" s="32" customFormat="1" ht="90" customHeight="1" hidden="1" outlineLevel="4">
      <c r="A92" s="24" t="s">
        <v>162</v>
      </c>
      <c r="B92" s="48"/>
      <c r="C92" s="49" t="s">
        <v>163</v>
      </c>
      <c r="D92" s="50" t="s">
        <v>162</v>
      </c>
      <c r="E92" s="51">
        <v>0</v>
      </c>
      <c r="F92" s="51">
        <v>2890.68</v>
      </c>
      <c r="G92" s="58"/>
      <c r="H92" s="54" t="e">
        <f t="shared" si="21"/>
        <v>#DIV/0!</v>
      </c>
      <c r="I92" s="51">
        <v>33800</v>
      </c>
      <c r="J92" s="51"/>
      <c r="K92" s="51">
        <v>2890.68</v>
      </c>
      <c r="L92" s="51">
        <f t="shared" si="22"/>
        <v>2890.68</v>
      </c>
      <c r="M92" s="54" t="e">
        <f t="shared" si="20"/>
        <v>#DIV/0!</v>
      </c>
      <c r="N92" s="51">
        <f t="shared" si="23"/>
        <v>-30909.32</v>
      </c>
      <c r="O92" s="54">
        <f t="shared" si="14"/>
        <v>0.08552307692307692</v>
      </c>
      <c r="P92" s="51">
        <f t="shared" si="24"/>
        <v>0</v>
      </c>
      <c r="Q92" s="69"/>
    </row>
    <row r="93" spans="1:17" s="32" customFormat="1" ht="90" customHeight="1" hidden="1" outlineLevel="5">
      <c r="A93" s="24" t="s">
        <v>162</v>
      </c>
      <c r="B93" s="48"/>
      <c r="C93" s="49" t="s">
        <v>164</v>
      </c>
      <c r="D93" s="50" t="s">
        <v>162</v>
      </c>
      <c r="E93" s="51">
        <v>2890.68</v>
      </c>
      <c r="F93" s="51">
        <v>0</v>
      </c>
      <c r="G93" s="58"/>
      <c r="H93" s="54">
        <f t="shared" si="21"/>
        <v>0</v>
      </c>
      <c r="I93" s="51">
        <v>33800</v>
      </c>
      <c r="J93" s="51"/>
      <c r="K93" s="51">
        <v>0</v>
      </c>
      <c r="L93" s="51">
        <f t="shared" si="22"/>
        <v>0</v>
      </c>
      <c r="M93" s="54" t="e">
        <f t="shared" si="20"/>
        <v>#DIV/0!</v>
      </c>
      <c r="N93" s="51">
        <f t="shared" si="23"/>
        <v>-33800</v>
      </c>
      <c r="O93" s="54">
        <f t="shared" si="14"/>
        <v>0</v>
      </c>
      <c r="P93" s="51">
        <f t="shared" si="24"/>
        <v>0</v>
      </c>
      <c r="Q93" s="69"/>
    </row>
    <row r="94" spans="1:17" s="32" customFormat="1" ht="90" customHeight="1" hidden="1" outlineLevel="5">
      <c r="A94" s="24" t="s">
        <v>165</v>
      </c>
      <c r="B94" s="48"/>
      <c r="C94" s="49" t="s">
        <v>164</v>
      </c>
      <c r="D94" s="50" t="s">
        <v>165</v>
      </c>
      <c r="E94" s="51">
        <v>53.23</v>
      </c>
      <c r="F94" s="51">
        <v>2890.68</v>
      </c>
      <c r="G94" s="58"/>
      <c r="H94" s="54">
        <f t="shared" si="21"/>
        <v>54.30546684200639</v>
      </c>
      <c r="I94" s="51">
        <v>0</v>
      </c>
      <c r="J94" s="51"/>
      <c r="K94" s="51">
        <v>2890.68</v>
      </c>
      <c r="L94" s="51">
        <f t="shared" si="22"/>
        <v>2890.68</v>
      </c>
      <c r="M94" s="54" t="e">
        <f t="shared" si="20"/>
        <v>#DIV/0!</v>
      </c>
      <c r="N94" s="51">
        <f t="shared" si="23"/>
        <v>2890.68</v>
      </c>
      <c r="O94" s="54" t="e">
        <f t="shared" si="14"/>
        <v>#DIV/0!</v>
      </c>
      <c r="P94" s="51">
        <f t="shared" si="24"/>
        <v>0</v>
      </c>
      <c r="Q94" s="69"/>
    </row>
    <row r="95" spans="1:17" s="32" customFormat="1" ht="15.75" customHeight="1" hidden="1" outlineLevel="3">
      <c r="A95" s="24" t="s">
        <v>166</v>
      </c>
      <c r="B95" s="48"/>
      <c r="C95" s="49" t="s">
        <v>23</v>
      </c>
      <c r="D95" s="50" t="s">
        <v>166</v>
      </c>
      <c r="E95" s="51">
        <v>53.23</v>
      </c>
      <c r="F95" s="51">
        <v>53.23</v>
      </c>
      <c r="G95" s="58"/>
      <c r="H95" s="54">
        <f t="shared" si="21"/>
        <v>1</v>
      </c>
      <c r="I95" s="51">
        <v>0</v>
      </c>
      <c r="J95" s="51"/>
      <c r="K95" s="51">
        <v>53.23</v>
      </c>
      <c r="L95" s="51">
        <f t="shared" si="22"/>
        <v>53.23</v>
      </c>
      <c r="M95" s="54" t="e">
        <f t="shared" si="20"/>
        <v>#DIV/0!</v>
      </c>
      <c r="N95" s="51">
        <f t="shared" si="23"/>
        <v>53.23</v>
      </c>
      <c r="O95" s="54" t="e">
        <f t="shared" si="14"/>
        <v>#DIV/0!</v>
      </c>
      <c r="P95" s="51">
        <f t="shared" si="24"/>
        <v>0</v>
      </c>
      <c r="Q95" s="69"/>
    </row>
    <row r="96" spans="1:17" s="32" customFormat="1" ht="90" customHeight="1" hidden="1" outlineLevel="4">
      <c r="A96" s="24" t="s">
        <v>167</v>
      </c>
      <c r="B96" s="48"/>
      <c r="C96" s="49" t="s">
        <v>168</v>
      </c>
      <c r="D96" s="50" t="s">
        <v>167</v>
      </c>
      <c r="E96" s="51">
        <v>53.23</v>
      </c>
      <c r="F96" s="51">
        <v>53.23</v>
      </c>
      <c r="G96" s="58"/>
      <c r="H96" s="54">
        <f t="shared" si="21"/>
        <v>1</v>
      </c>
      <c r="I96" s="51">
        <v>0</v>
      </c>
      <c r="J96" s="51"/>
      <c r="K96" s="51">
        <v>53.23</v>
      </c>
      <c r="L96" s="51">
        <f t="shared" si="22"/>
        <v>53.23</v>
      </c>
      <c r="M96" s="54" t="e">
        <f t="shared" si="20"/>
        <v>#DIV/0!</v>
      </c>
      <c r="N96" s="51">
        <f t="shared" si="23"/>
        <v>53.23</v>
      </c>
      <c r="O96" s="54" t="e">
        <f t="shared" si="14"/>
        <v>#DIV/0!</v>
      </c>
      <c r="P96" s="51">
        <f t="shared" si="24"/>
        <v>0</v>
      </c>
      <c r="Q96" s="69"/>
    </row>
    <row r="97" spans="1:17" s="32" customFormat="1" ht="90" customHeight="1" hidden="1" outlineLevel="5">
      <c r="A97" s="24" t="s">
        <v>169</v>
      </c>
      <c r="B97" s="48"/>
      <c r="C97" s="49" t="s">
        <v>170</v>
      </c>
      <c r="D97" s="50" t="s">
        <v>169</v>
      </c>
      <c r="E97" s="51">
        <v>481.81</v>
      </c>
      <c r="F97" s="51">
        <v>53.23</v>
      </c>
      <c r="G97" s="58"/>
      <c r="H97" s="54">
        <f t="shared" si="21"/>
        <v>0.11047923455303957</v>
      </c>
      <c r="I97" s="51">
        <v>0</v>
      </c>
      <c r="J97" s="51"/>
      <c r="K97" s="51">
        <v>53.23</v>
      </c>
      <c r="L97" s="51">
        <f t="shared" si="22"/>
        <v>53.23</v>
      </c>
      <c r="M97" s="54" t="e">
        <f t="shared" si="20"/>
        <v>#DIV/0!</v>
      </c>
      <c r="N97" s="51">
        <f t="shared" si="23"/>
        <v>53.23</v>
      </c>
      <c r="O97" s="54" t="e">
        <f t="shared" si="14"/>
        <v>#DIV/0!</v>
      </c>
      <c r="P97" s="51">
        <f t="shared" si="24"/>
        <v>0</v>
      </c>
      <c r="Q97" s="69"/>
    </row>
    <row r="98" spans="1:17" s="32" customFormat="1" ht="15.75" customHeight="1" hidden="1" outlineLevel="3">
      <c r="A98" s="24" t="s">
        <v>171</v>
      </c>
      <c r="B98" s="48"/>
      <c r="C98" s="49" t="s">
        <v>23</v>
      </c>
      <c r="D98" s="50" t="s">
        <v>171</v>
      </c>
      <c r="E98" s="51">
        <v>481.81</v>
      </c>
      <c r="F98" s="51">
        <v>481.81</v>
      </c>
      <c r="G98" s="58"/>
      <c r="H98" s="54">
        <f t="shared" si="21"/>
        <v>1</v>
      </c>
      <c r="I98" s="51">
        <v>59400</v>
      </c>
      <c r="J98" s="51"/>
      <c r="K98" s="51">
        <v>481.81</v>
      </c>
      <c r="L98" s="51">
        <f t="shared" si="22"/>
        <v>481.81</v>
      </c>
      <c r="M98" s="54" t="e">
        <f t="shared" si="20"/>
        <v>#DIV/0!</v>
      </c>
      <c r="N98" s="51">
        <f t="shared" si="23"/>
        <v>-58918.19</v>
      </c>
      <c r="O98" s="54">
        <f t="shared" si="14"/>
        <v>0.008111279461279462</v>
      </c>
      <c r="P98" s="51">
        <f t="shared" si="24"/>
        <v>0</v>
      </c>
      <c r="Q98" s="69"/>
    </row>
    <row r="99" spans="1:17" s="32" customFormat="1" ht="45" customHeight="1" hidden="1" outlineLevel="4">
      <c r="A99" s="24" t="s">
        <v>172</v>
      </c>
      <c r="B99" s="48"/>
      <c r="C99" s="49" t="s">
        <v>173</v>
      </c>
      <c r="D99" s="50" t="s">
        <v>172</v>
      </c>
      <c r="E99" s="51">
        <v>0</v>
      </c>
      <c r="F99" s="51">
        <v>481.81</v>
      </c>
      <c r="G99" s="58"/>
      <c r="H99" s="54" t="e">
        <f t="shared" si="21"/>
        <v>#DIV/0!</v>
      </c>
      <c r="I99" s="51">
        <v>59400</v>
      </c>
      <c r="J99" s="51"/>
      <c r="K99" s="51">
        <v>481.81</v>
      </c>
      <c r="L99" s="51">
        <f t="shared" si="22"/>
        <v>481.81</v>
      </c>
      <c r="M99" s="54" t="e">
        <f t="shared" si="20"/>
        <v>#DIV/0!</v>
      </c>
      <c r="N99" s="51">
        <f t="shared" si="23"/>
        <v>-58918.19</v>
      </c>
      <c r="O99" s="54">
        <f t="shared" si="14"/>
        <v>0.008111279461279462</v>
      </c>
      <c r="P99" s="51">
        <f t="shared" si="24"/>
        <v>0</v>
      </c>
      <c r="Q99" s="69"/>
    </row>
    <row r="100" spans="1:17" s="32" customFormat="1" ht="60" customHeight="1" hidden="1" outlineLevel="5">
      <c r="A100" s="24" t="s">
        <v>172</v>
      </c>
      <c r="B100" s="48"/>
      <c r="C100" s="49" t="s">
        <v>174</v>
      </c>
      <c r="D100" s="50" t="s">
        <v>172</v>
      </c>
      <c r="E100" s="51">
        <v>481.81</v>
      </c>
      <c r="F100" s="51">
        <v>0</v>
      </c>
      <c r="G100" s="58"/>
      <c r="H100" s="54">
        <f t="shared" si="21"/>
        <v>0</v>
      </c>
      <c r="I100" s="51">
        <v>59400</v>
      </c>
      <c r="J100" s="51"/>
      <c r="K100" s="51">
        <v>0</v>
      </c>
      <c r="L100" s="51">
        <f t="shared" si="22"/>
        <v>0</v>
      </c>
      <c r="M100" s="54" t="e">
        <f t="shared" si="20"/>
        <v>#DIV/0!</v>
      </c>
      <c r="N100" s="51">
        <f t="shared" si="23"/>
        <v>-59400</v>
      </c>
      <c r="O100" s="54">
        <f t="shared" si="14"/>
        <v>0</v>
      </c>
      <c r="P100" s="51">
        <f t="shared" si="24"/>
        <v>0</v>
      </c>
      <c r="Q100" s="69"/>
    </row>
    <row r="101" spans="1:17" s="32" customFormat="1" ht="60" customHeight="1" hidden="1" outlineLevel="5">
      <c r="A101" s="24" t="s">
        <v>175</v>
      </c>
      <c r="B101" s="48"/>
      <c r="C101" s="49" t="s">
        <v>176</v>
      </c>
      <c r="D101" s="50" t="s">
        <v>175</v>
      </c>
      <c r="E101" s="51">
        <v>39261.54</v>
      </c>
      <c r="F101" s="51">
        <v>481.81</v>
      </c>
      <c r="G101" s="58"/>
      <c r="H101" s="54">
        <f t="shared" si="21"/>
        <v>0.01227180594546215</v>
      </c>
      <c r="I101" s="51">
        <v>0</v>
      </c>
      <c r="J101" s="51"/>
      <c r="K101" s="51">
        <v>481.81</v>
      </c>
      <c r="L101" s="51">
        <f t="shared" si="22"/>
        <v>481.81</v>
      </c>
      <c r="M101" s="54" t="e">
        <f t="shared" si="20"/>
        <v>#DIV/0!</v>
      </c>
      <c r="N101" s="51">
        <f t="shared" si="23"/>
        <v>481.81</v>
      </c>
      <c r="O101" s="54" t="e">
        <f t="shared" si="14"/>
        <v>#DIV/0!</v>
      </c>
      <c r="P101" s="51">
        <f t="shared" si="24"/>
        <v>0</v>
      </c>
      <c r="Q101" s="69"/>
    </row>
    <row r="102" spans="1:17" s="32" customFormat="1" ht="15.75" customHeight="1" hidden="1" outlineLevel="3">
      <c r="A102" s="24" t="s">
        <v>177</v>
      </c>
      <c r="B102" s="48"/>
      <c r="C102" s="49" t="s">
        <v>23</v>
      </c>
      <c r="D102" s="50" t="s">
        <v>177</v>
      </c>
      <c r="E102" s="51">
        <v>39261.54</v>
      </c>
      <c r="F102" s="51">
        <v>39261.54</v>
      </c>
      <c r="G102" s="58"/>
      <c r="H102" s="54">
        <f t="shared" si="21"/>
        <v>1</v>
      </c>
      <c r="I102" s="51">
        <v>464900</v>
      </c>
      <c r="J102" s="51"/>
      <c r="K102" s="51">
        <v>39261.54</v>
      </c>
      <c r="L102" s="51">
        <f t="shared" si="22"/>
        <v>39261.54</v>
      </c>
      <c r="M102" s="54" t="e">
        <f t="shared" si="20"/>
        <v>#DIV/0!</v>
      </c>
      <c r="N102" s="51">
        <f t="shared" si="23"/>
        <v>-425638.46</v>
      </c>
      <c r="O102" s="54">
        <f t="shared" si="14"/>
        <v>0.0844515809851581</v>
      </c>
      <c r="P102" s="51">
        <f t="shared" si="24"/>
        <v>0</v>
      </c>
      <c r="Q102" s="69"/>
    </row>
    <row r="103" spans="1:17" s="32" customFormat="1" ht="60" customHeight="1" hidden="1" outlineLevel="4">
      <c r="A103" s="24" t="s">
        <v>178</v>
      </c>
      <c r="B103" s="48"/>
      <c r="C103" s="49" t="s">
        <v>179</v>
      </c>
      <c r="D103" s="50" t="s">
        <v>178</v>
      </c>
      <c r="E103" s="51">
        <v>0</v>
      </c>
      <c r="F103" s="51">
        <v>39261.54</v>
      </c>
      <c r="G103" s="58"/>
      <c r="H103" s="54" t="e">
        <f t="shared" si="21"/>
        <v>#DIV/0!</v>
      </c>
      <c r="I103" s="51">
        <v>464900</v>
      </c>
      <c r="J103" s="51"/>
      <c r="K103" s="51">
        <v>39261.54</v>
      </c>
      <c r="L103" s="51">
        <f t="shared" si="22"/>
        <v>39261.54</v>
      </c>
      <c r="M103" s="54" t="e">
        <f t="shared" si="20"/>
        <v>#DIV/0!</v>
      </c>
      <c r="N103" s="51">
        <f t="shared" si="23"/>
        <v>-425638.46</v>
      </c>
      <c r="O103" s="54">
        <f t="shared" si="14"/>
        <v>0.0844515809851581</v>
      </c>
      <c r="P103" s="51">
        <f t="shared" si="24"/>
        <v>0</v>
      </c>
      <c r="Q103" s="69"/>
    </row>
    <row r="104" spans="1:17" s="32" customFormat="1" ht="60" customHeight="1" hidden="1" outlineLevel="5">
      <c r="A104" s="24" t="s">
        <v>178</v>
      </c>
      <c r="B104" s="48"/>
      <c r="C104" s="49" t="s">
        <v>180</v>
      </c>
      <c r="D104" s="50" t="s">
        <v>178</v>
      </c>
      <c r="E104" s="51">
        <v>39261.54</v>
      </c>
      <c r="F104" s="51">
        <v>0</v>
      </c>
      <c r="G104" s="58"/>
      <c r="H104" s="54">
        <f t="shared" si="21"/>
        <v>0</v>
      </c>
      <c r="I104" s="51">
        <v>464900</v>
      </c>
      <c r="J104" s="51"/>
      <c r="K104" s="51">
        <v>0</v>
      </c>
      <c r="L104" s="51">
        <f t="shared" si="22"/>
        <v>0</v>
      </c>
      <c r="M104" s="54" t="e">
        <f t="shared" si="20"/>
        <v>#DIV/0!</v>
      </c>
      <c r="N104" s="51">
        <f t="shared" si="23"/>
        <v>-464900</v>
      </c>
      <c r="O104" s="54">
        <f t="shared" si="14"/>
        <v>0</v>
      </c>
      <c r="P104" s="51">
        <f t="shared" si="24"/>
        <v>0</v>
      </c>
      <c r="Q104" s="69"/>
    </row>
    <row r="105" spans="1:17" s="32" customFormat="1" ht="60" customHeight="1" hidden="1" outlineLevel="5">
      <c r="A105" s="24" t="s">
        <v>181</v>
      </c>
      <c r="B105" s="48"/>
      <c r="C105" s="49" t="s">
        <v>182</v>
      </c>
      <c r="D105" s="50" t="s">
        <v>181</v>
      </c>
      <c r="E105" s="51">
        <f>E106+E107</f>
        <v>10003098.77</v>
      </c>
      <c r="F105" s="51">
        <v>39261.54</v>
      </c>
      <c r="G105" s="58"/>
      <c r="H105" s="54">
        <f t="shared" si="21"/>
        <v>0.003924937752064204</v>
      </c>
      <c r="I105" s="51">
        <v>0</v>
      </c>
      <c r="J105" s="51"/>
      <c r="K105" s="51">
        <v>39261.54</v>
      </c>
      <c r="L105" s="51">
        <f t="shared" si="22"/>
        <v>39261.54</v>
      </c>
      <c r="M105" s="54" t="e">
        <f t="shared" si="20"/>
        <v>#DIV/0!</v>
      </c>
      <c r="N105" s="51">
        <f t="shared" si="23"/>
        <v>39261.54</v>
      </c>
      <c r="O105" s="54" t="e">
        <f t="shared" si="14"/>
        <v>#DIV/0!</v>
      </c>
      <c r="P105" s="51">
        <f t="shared" si="24"/>
        <v>0</v>
      </c>
      <c r="Q105" s="69"/>
    </row>
    <row r="106" spans="1:17" s="32" customFormat="1" ht="78.75" customHeight="1" outlineLevel="1" collapsed="1">
      <c r="A106" s="24" t="s">
        <v>183</v>
      </c>
      <c r="B106" s="48" t="s">
        <v>184</v>
      </c>
      <c r="C106" s="49" t="s">
        <v>185</v>
      </c>
      <c r="D106" s="50" t="s">
        <v>183</v>
      </c>
      <c r="E106" s="51">
        <f>E107+E108</f>
        <v>6949209.46</v>
      </c>
      <c r="F106" s="51">
        <f>F107+F108</f>
        <v>520847.88</v>
      </c>
      <c r="G106" s="58">
        <f>G107+G108</f>
        <v>-6428361.58</v>
      </c>
      <c r="H106" s="54">
        <f t="shared" si="21"/>
        <v>0.07495066640285153</v>
      </c>
      <c r="I106" s="51">
        <f>I107+I108</f>
        <v>3385056.7</v>
      </c>
      <c r="J106" s="51">
        <f>J107+J108</f>
        <v>217229</v>
      </c>
      <c r="K106" s="51">
        <f>K107+K108</f>
        <v>650710.84</v>
      </c>
      <c r="L106" s="51">
        <f t="shared" si="22"/>
        <v>433481.83999999997</v>
      </c>
      <c r="M106" s="54">
        <f t="shared" si="20"/>
        <v>-0.526581564816085</v>
      </c>
      <c r="N106" s="51">
        <f t="shared" si="23"/>
        <v>-2734345.8600000003</v>
      </c>
      <c r="O106" s="54">
        <f t="shared" si="14"/>
        <v>0.19223041079341446</v>
      </c>
      <c r="P106" s="51">
        <f t="shared" si="24"/>
        <v>129862.95999999996</v>
      </c>
      <c r="Q106" s="56"/>
    </row>
    <row r="107" spans="1:17" ht="62.25" customHeight="1" outlineLevel="2">
      <c r="A107" s="64" t="s">
        <v>186</v>
      </c>
      <c r="B107" s="65" t="s">
        <v>187</v>
      </c>
      <c r="C107" s="59" t="s">
        <v>188</v>
      </c>
      <c r="D107" s="60" t="s">
        <v>186</v>
      </c>
      <c r="E107" s="61">
        <v>3053889.31</v>
      </c>
      <c r="F107" s="61">
        <v>510347.88</v>
      </c>
      <c r="G107" s="62">
        <f>F107-E107</f>
        <v>-2543541.43</v>
      </c>
      <c r="H107" s="63">
        <f t="shared" si="21"/>
        <v>0.16711407264463032</v>
      </c>
      <c r="I107" s="61">
        <v>3335156.7</v>
      </c>
      <c r="J107" s="61">
        <v>217229</v>
      </c>
      <c r="K107" s="61">
        <v>628697.34</v>
      </c>
      <c r="L107" s="61">
        <f t="shared" si="22"/>
        <v>411468.33999999997</v>
      </c>
      <c r="M107" s="63">
        <f t="shared" si="20"/>
        <v>-1.3112256245026055</v>
      </c>
      <c r="N107" s="61">
        <f>K107-I107</f>
        <v>-2706459.3600000003</v>
      </c>
      <c r="O107" s="63">
        <f t="shared" si="14"/>
        <v>0.1885060872851941</v>
      </c>
      <c r="P107" s="61">
        <f t="shared" si="24"/>
        <v>118349.45999999996</v>
      </c>
      <c r="Q107" s="74"/>
    </row>
    <row r="108" spans="1:17" ht="35.25" customHeight="1" outlineLevel="3">
      <c r="A108" s="64" t="s">
        <v>189</v>
      </c>
      <c r="B108" s="65" t="s">
        <v>190</v>
      </c>
      <c r="C108" s="59" t="s">
        <v>191</v>
      </c>
      <c r="D108" s="60" t="s">
        <v>192</v>
      </c>
      <c r="E108" s="62">
        <v>3895320.15</v>
      </c>
      <c r="F108" s="62">
        <v>10500</v>
      </c>
      <c r="G108" s="62">
        <f>F108-E108</f>
        <v>-3884820.15</v>
      </c>
      <c r="H108" s="63">
        <f t="shared" si="21"/>
        <v>0.002695542239320175</v>
      </c>
      <c r="I108" s="61">
        <v>49900</v>
      </c>
      <c r="J108" s="61"/>
      <c r="K108" s="62">
        <v>22013.5</v>
      </c>
      <c r="L108" s="61">
        <f t="shared" si="22"/>
        <v>22013.5</v>
      </c>
      <c r="M108" s="63">
        <f t="shared" si="20"/>
        <v>-0.012844867477327104</v>
      </c>
      <c r="N108" s="61">
        <f>K108-I108</f>
        <v>-27886.5</v>
      </c>
      <c r="O108" s="63">
        <f t="shared" si="14"/>
        <v>0.44115230460921845</v>
      </c>
      <c r="P108" s="61">
        <f t="shared" si="24"/>
        <v>11513.5</v>
      </c>
      <c r="Q108" s="66"/>
    </row>
    <row r="109" spans="1:17" s="32" customFormat="1" ht="75" customHeight="1" outlineLevel="1">
      <c r="A109" s="24" t="s">
        <v>193</v>
      </c>
      <c r="B109" s="48" t="s">
        <v>194</v>
      </c>
      <c r="C109" s="49" t="s">
        <v>195</v>
      </c>
      <c r="D109" s="50" t="s">
        <v>193</v>
      </c>
      <c r="E109" s="51">
        <f>E110+E111</f>
        <v>19228417.560000002</v>
      </c>
      <c r="F109" s="51">
        <f>F110+F111</f>
        <v>4999014.6</v>
      </c>
      <c r="G109" s="58">
        <f>G110+G111</f>
        <v>-14229402.96</v>
      </c>
      <c r="H109" s="54">
        <f t="shared" si="21"/>
        <v>0.25998055141049264</v>
      </c>
      <c r="I109" s="51">
        <f>I110+I111</f>
        <v>23892500</v>
      </c>
      <c r="J109" s="51">
        <f>J110+J111</f>
        <v>200000</v>
      </c>
      <c r="K109" s="51">
        <f>K110+K111</f>
        <v>8603732.17</v>
      </c>
      <c r="L109" s="51">
        <f t="shared" si="22"/>
        <v>8403732.17</v>
      </c>
      <c r="M109" s="54">
        <f t="shared" si="20"/>
        <v>-1.6790936392175937</v>
      </c>
      <c r="N109" s="51">
        <f>N110+N111</f>
        <v>-15288767.83</v>
      </c>
      <c r="O109" s="54">
        <f t="shared" si="14"/>
        <v>0.36010179637961703</v>
      </c>
      <c r="P109" s="51">
        <f t="shared" si="24"/>
        <v>3604717.5700000003</v>
      </c>
      <c r="Q109" s="56"/>
    </row>
    <row r="110" spans="1:17" ht="75.75" customHeight="1" outlineLevel="2">
      <c r="A110" s="64" t="s">
        <v>196</v>
      </c>
      <c r="B110" s="65" t="s">
        <v>197</v>
      </c>
      <c r="C110" s="59" t="s">
        <v>198</v>
      </c>
      <c r="D110" s="60" t="s">
        <v>196</v>
      </c>
      <c r="E110" s="61">
        <v>7574993.66</v>
      </c>
      <c r="F110" s="61">
        <v>3037000</v>
      </c>
      <c r="G110" s="62">
        <f aca="true" t="shared" si="25" ref="G110:G130">F110-E110</f>
        <v>-4537993.66</v>
      </c>
      <c r="H110" s="63">
        <f t="shared" si="21"/>
        <v>0.40092442796843214</v>
      </c>
      <c r="I110" s="61">
        <v>17958200</v>
      </c>
      <c r="J110" s="61"/>
      <c r="K110" s="61">
        <v>3124344.33</v>
      </c>
      <c r="L110" s="61">
        <f t="shared" si="22"/>
        <v>3124344.33</v>
      </c>
      <c r="M110" s="63">
        <f t="shared" si="20"/>
        <v>-3.957299490806252</v>
      </c>
      <c r="N110" s="61">
        <f>K110-I110</f>
        <v>-14833855.67</v>
      </c>
      <c r="O110" s="63">
        <f t="shared" si="14"/>
        <v>0.17397870220846187</v>
      </c>
      <c r="P110" s="61">
        <f t="shared" si="24"/>
        <v>87344.33000000007</v>
      </c>
      <c r="Q110" s="73"/>
    </row>
    <row r="111" spans="1:17" ht="36" customHeight="1" outlineLevel="2">
      <c r="A111" s="64" t="s">
        <v>199</v>
      </c>
      <c r="B111" s="65" t="s">
        <v>200</v>
      </c>
      <c r="C111" s="59" t="s">
        <v>201</v>
      </c>
      <c r="D111" s="60" t="s">
        <v>199</v>
      </c>
      <c r="E111" s="61">
        <v>11653423.9</v>
      </c>
      <c r="F111" s="61">
        <v>1962014.6</v>
      </c>
      <c r="G111" s="62">
        <f t="shared" si="25"/>
        <v>-9691409.3</v>
      </c>
      <c r="H111" s="63">
        <f t="shared" si="21"/>
        <v>0.1683637887745592</v>
      </c>
      <c r="I111" s="61">
        <v>5934300</v>
      </c>
      <c r="J111" s="61">
        <v>200000</v>
      </c>
      <c r="K111" s="61">
        <v>5479387.84</v>
      </c>
      <c r="L111" s="61">
        <f t="shared" si="22"/>
        <v>5279387.84</v>
      </c>
      <c r="M111" s="63">
        <f t="shared" si="20"/>
        <v>-0.6123258048754581</v>
      </c>
      <c r="N111" s="61">
        <f>K111-I111</f>
        <v>-454912.16000000015</v>
      </c>
      <c r="O111" s="63">
        <f t="shared" si="14"/>
        <v>0.9233419004768886</v>
      </c>
      <c r="P111" s="61">
        <f t="shared" si="24"/>
        <v>3517373.2399999998</v>
      </c>
      <c r="Q111" s="66"/>
    </row>
    <row r="112" spans="1:17" s="32" customFormat="1" ht="69" customHeight="1" outlineLevel="1">
      <c r="A112" s="24" t="s">
        <v>202</v>
      </c>
      <c r="B112" s="48" t="s">
        <v>203</v>
      </c>
      <c r="C112" s="49" t="s">
        <v>204</v>
      </c>
      <c r="D112" s="50" t="s">
        <v>202</v>
      </c>
      <c r="E112" s="51">
        <v>1668058.37</v>
      </c>
      <c r="F112" s="51">
        <v>458913.92</v>
      </c>
      <c r="G112" s="58">
        <f t="shared" si="25"/>
        <v>-1209144.4500000002</v>
      </c>
      <c r="H112" s="54">
        <f t="shared" si="21"/>
        <v>0.2751186218981054</v>
      </c>
      <c r="I112" s="51">
        <v>164894.64</v>
      </c>
      <c r="J112" s="51">
        <v>35150</v>
      </c>
      <c r="K112" s="51">
        <v>24204631.54</v>
      </c>
      <c r="L112" s="51">
        <f t="shared" si="22"/>
        <v>24169481.54</v>
      </c>
      <c r="M112" s="54">
        <f t="shared" si="20"/>
        <v>-0.1363729867014648</v>
      </c>
      <c r="N112" s="51">
        <f>K112-I112</f>
        <v>24039736.9</v>
      </c>
      <c r="O112" s="54">
        <f t="shared" si="14"/>
        <v>146.78846771489964</v>
      </c>
      <c r="P112" s="51">
        <f t="shared" si="24"/>
        <v>23745717.619999997</v>
      </c>
      <c r="Q112" s="74" t="s">
        <v>258</v>
      </c>
    </row>
    <row r="113" spans="1:17" s="32" customFormat="1" ht="30.75" customHeight="1" outlineLevel="1">
      <c r="A113" s="24" t="s">
        <v>205</v>
      </c>
      <c r="B113" s="48" t="s">
        <v>206</v>
      </c>
      <c r="C113" s="49" t="s">
        <v>207</v>
      </c>
      <c r="D113" s="50" t="s">
        <v>205</v>
      </c>
      <c r="E113" s="51">
        <f>E114+E115+E116+E117+E118+E119+E120</f>
        <v>7747287.5</v>
      </c>
      <c r="F113" s="51">
        <f>F114+F115+F116+F117+F118+F119+F120</f>
        <v>2614610.94</v>
      </c>
      <c r="G113" s="58">
        <f>G114+G115+G116+G117+G118+G119</f>
        <v>-4921083.5600000005</v>
      </c>
      <c r="H113" s="75">
        <f t="shared" si="21"/>
        <v>0.3374872740943201</v>
      </c>
      <c r="I113" s="51">
        <f>I114+I115+I116+I117+I118+I119+I120</f>
        <v>7004782.08</v>
      </c>
      <c r="J113" s="51">
        <f>J114+J115+J116+J117+J118+J119+J120</f>
        <v>918137.48</v>
      </c>
      <c r="K113" s="51">
        <f>K114+K115+K116+K117+K118+K119+K120</f>
        <v>3043424.6</v>
      </c>
      <c r="L113" s="51">
        <f>L114+L115+L116+L117+L118+L119+L120</f>
        <v>2125287.12</v>
      </c>
      <c r="M113" s="51" t="e">
        <f>M114+M115+M116+M117+M118+M119+M120</f>
        <v>#DIV/0!</v>
      </c>
      <c r="N113" s="51">
        <f>N114+N115+N116+N117+N118+N119+N120</f>
        <v>-3961357.4799999995</v>
      </c>
      <c r="O113" s="54">
        <f t="shared" si="14"/>
        <v>0.4344781272624544</v>
      </c>
      <c r="P113" s="51">
        <f t="shared" si="24"/>
        <v>428813.66000000015</v>
      </c>
      <c r="Q113" s="56"/>
    </row>
    <row r="114" spans="1:17" s="4" customFormat="1" ht="72" customHeight="1" outlineLevel="1">
      <c r="A114" s="76"/>
      <c r="B114" s="77" t="s">
        <v>208</v>
      </c>
      <c r="C114" s="59" t="s">
        <v>209</v>
      </c>
      <c r="D114" s="60" t="s">
        <v>210</v>
      </c>
      <c r="E114" s="78">
        <v>0</v>
      </c>
      <c r="F114" s="79"/>
      <c r="G114" s="62"/>
      <c r="H114" s="63"/>
      <c r="I114" s="79"/>
      <c r="J114" s="79"/>
      <c r="K114" s="79"/>
      <c r="L114" s="61">
        <f t="shared" si="22"/>
        <v>0</v>
      </c>
      <c r="M114" s="63"/>
      <c r="N114" s="61">
        <f aca="true" t="shared" si="26" ref="N114:N119">K114-I114</f>
        <v>0</v>
      </c>
      <c r="O114" s="63"/>
      <c r="P114" s="61">
        <f t="shared" si="24"/>
        <v>0</v>
      </c>
      <c r="Q114" s="80"/>
    </row>
    <row r="115" spans="1:17" ht="94.5" customHeight="1" outlineLevel="5">
      <c r="A115" s="64" t="s">
        <v>211</v>
      </c>
      <c r="B115" s="65" t="s">
        <v>212</v>
      </c>
      <c r="C115" s="59" t="s">
        <v>213</v>
      </c>
      <c r="D115" s="60" t="s">
        <v>211</v>
      </c>
      <c r="E115" s="61">
        <v>898909.4</v>
      </c>
      <c r="F115" s="61">
        <v>65794</v>
      </c>
      <c r="G115" s="62">
        <f t="shared" si="25"/>
        <v>-833115.4</v>
      </c>
      <c r="H115" s="63">
        <f t="shared" si="21"/>
        <v>0.07319313826287721</v>
      </c>
      <c r="I115" s="61">
        <v>936864.56</v>
      </c>
      <c r="J115" s="61"/>
      <c r="K115" s="61">
        <f>254700+98691</f>
        <v>353391</v>
      </c>
      <c r="L115" s="61">
        <f t="shared" si="22"/>
        <v>353391</v>
      </c>
      <c r="M115" s="63">
        <f>I115/G115</f>
        <v>-1.1245315594934389</v>
      </c>
      <c r="N115" s="61">
        <f t="shared" si="26"/>
        <v>-583473.56</v>
      </c>
      <c r="O115" s="63">
        <f t="shared" si="14"/>
        <v>0.3772060712809971</v>
      </c>
      <c r="P115" s="61">
        <f t="shared" si="24"/>
        <v>287597</v>
      </c>
      <c r="Q115" s="66" t="s">
        <v>259</v>
      </c>
    </row>
    <row r="116" spans="1:17" ht="61.5" customHeight="1" outlineLevel="5">
      <c r="A116" s="64" t="s">
        <v>214</v>
      </c>
      <c r="B116" s="65" t="s">
        <v>215</v>
      </c>
      <c r="C116" s="59" t="s">
        <v>216</v>
      </c>
      <c r="D116" s="60" t="s">
        <v>214</v>
      </c>
      <c r="E116" s="61">
        <v>91219.38</v>
      </c>
      <c r="F116" s="61">
        <v>11943.01</v>
      </c>
      <c r="G116" s="62">
        <f t="shared" si="25"/>
        <v>-79276.37000000001</v>
      </c>
      <c r="H116" s="63">
        <f t="shared" si="21"/>
        <v>0.13092623519256544</v>
      </c>
      <c r="I116" s="61">
        <v>33077</v>
      </c>
      <c r="J116" s="61">
        <v>4255</v>
      </c>
      <c r="K116" s="61"/>
      <c r="L116" s="61">
        <f t="shared" si="22"/>
        <v>-4255</v>
      </c>
      <c r="M116" s="63">
        <f>I116/G116</f>
        <v>-0.4172365611593971</v>
      </c>
      <c r="N116" s="61">
        <f t="shared" si="26"/>
        <v>-33077</v>
      </c>
      <c r="O116" s="63">
        <f t="shared" si="14"/>
        <v>0</v>
      </c>
      <c r="P116" s="61">
        <f t="shared" si="24"/>
        <v>-11943.01</v>
      </c>
      <c r="Q116" s="66"/>
    </row>
    <row r="117" spans="1:17" ht="79.5" customHeight="1" outlineLevel="5">
      <c r="A117" s="64" t="s">
        <v>217</v>
      </c>
      <c r="B117" s="65" t="s">
        <v>218</v>
      </c>
      <c r="C117" s="59" t="s">
        <v>219</v>
      </c>
      <c r="D117" s="60" t="s">
        <v>217</v>
      </c>
      <c r="E117" s="61">
        <v>0</v>
      </c>
      <c r="F117" s="61"/>
      <c r="G117" s="62">
        <f t="shared" si="25"/>
        <v>0</v>
      </c>
      <c r="H117" s="63" t="e">
        <f t="shared" si="21"/>
        <v>#DIV/0!</v>
      </c>
      <c r="I117" s="61"/>
      <c r="J117" s="61"/>
      <c r="K117" s="61"/>
      <c r="L117" s="61">
        <f t="shared" si="22"/>
        <v>0</v>
      </c>
      <c r="M117" s="63"/>
      <c r="N117" s="61">
        <f t="shared" si="26"/>
        <v>0</v>
      </c>
      <c r="O117" s="63"/>
      <c r="P117" s="61">
        <f t="shared" si="24"/>
        <v>0</v>
      </c>
      <c r="Q117" s="66"/>
    </row>
    <row r="118" spans="1:17" ht="45" customHeight="1" hidden="1" outlineLevel="5">
      <c r="A118" s="64" t="s">
        <v>220</v>
      </c>
      <c r="B118" s="65"/>
      <c r="C118" s="59" t="s">
        <v>221</v>
      </c>
      <c r="D118" s="60" t="s">
        <v>220</v>
      </c>
      <c r="E118" s="61"/>
      <c r="F118" s="61"/>
      <c r="G118" s="62">
        <f t="shared" si="25"/>
        <v>0</v>
      </c>
      <c r="H118" s="63" t="e">
        <f t="shared" si="21"/>
        <v>#DIV/0!</v>
      </c>
      <c r="I118" s="61"/>
      <c r="J118" s="61"/>
      <c r="K118" s="61"/>
      <c r="L118" s="61">
        <f t="shared" si="22"/>
        <v>0</v>
      </c>
      <c r="M118" s="63" t="e">
        <f aca="true" t="shared" si="27" ref="M118:M127">I118/G118</f>
        <v>#DIV/0!</v>
      </c>
      <c r="N118" s="61">
        <f t="shared" si="26"/>
        <v>0</v>
      </c>
      <c r="O118" s="63" t="e">
        <f t="shared" si="14"/>
        <v>#DIV/0!</v>
      </c>
      <c r="P118" s="61">
        <f t="shared" si="24"/>
        <v>0</v>
      </c>
      <c r="Q118" s="81" t="s">
        <v>222</v>
      </c>
    </row>
    <row r="119" spans="1:17" ht="117" customHeight="1" outlineLevel="5">
      <c r="A119" s="64" t="s">
        <v>223</v>
      </c>
      <c r="B119" s="82" t="s">
        <v>224</v>
      </c>
      <c r="C119" s="83" t="s">
        <v>225</v>
      </c>
      <c r="D119" s="84" t="s">
        <v>223</v>
      </c>
      <c r="E119" s="85">
        <v>5165454.72</v>
      </c>
      <c r="F119" s="85">
        <v>1156762.93</v>
      </c>
      <c r="G119" s="86">
        <f t="shared" si="25"/>
        <v>-4008691.79</v>
      </c>
      <c r="H119" s="87">
        <f t="shared" si="21"/>
        <v>0.22394212953240253</v>
      </c>
      <c r="I119" s="85">
        <v>4745840.52</v>
      </c>
      <c r="J119" s="85">
        <v>913882.48</v>
      </c>
      <c r="K119" s="85">
        <v>1401033.6</v>
      </c>
      <c r="L119" s="85">
        <f t="shared" si="22"/>
        <v>487151.1200000001</v>
      </c>
      <c r="M119" s="87">
        <f t="shared" si="27"/>
        <v>-1.1838876043897602</v>
      </c>
      <c r="N119" s="85">
        <f t="shared" si="26"/>
        <v>-3344806.9199999995</v>
      </c>
      <c r="O119" s="87">
        <f t="shared" si="14"/>
        <v>0.2952129541849839</v>
      </c>
      <c r="P119" s="85">
        <f t="shared" si="24"/>
        <v>244270.67000000016</v>
      </c>
      <c r="Q119" s="88"/>
    </row>
    <row r="120" spans="1:17" ht="47.25" customHeight="1" outlineLevel="5" thickBot="1">
      <c r="A120" s="64"/>
      <c r="B120" s="65" t="s">
        <v>226</v>
      </c>
      <c r="C120" s="89" t="s">
        <v>227</v>
      </c>
      <c r="D120" s="90"/>
      <c r="E120" s="91">
        <v>1591704</v>
      </c>
      <c r="F120" s="91">
        <v>1380111</v>
      </c>
      <c r="G120" s="92">
        <f t="shared" si="25"/>
        <v>-211593</v>
      </c>
      <c r="H120" s="93">
        <f t="shared" si="21"/>
        <v>0.8670651075828169</v>
      </c>
      <c r="I120" s="91">
        <v>1289000</v>
      </c>
      <c r="J120" s="91"/>
      <c r="K120" s="91">
        <v>1289000</v>
      </c>
      <c r="L120" s="85">
        <f t="shared" si="22"/>
        <v>1289000</v>
      </c>
      <c r="M120" s="93">
        <f t="shared" si="27"/>
        <v>-6.091883947011479</v>
      </c>
      <c r="N120" s="85">
        <f>K120-I120</f>
        <v>0</v>
      </c>
      <c r="O120" s="87">
        <f>K120/I120</f>
        <v>1</v>
      </c>
      <c r="P120" s="85">
        <f t="shared" si="24"/>
        <v>-91111</v>
      </c>
      <c r="Q120" s="94" t="s">
        <v>269</v>
      </c>
    </row>
    <row r="121" spans="1:17" s="16" customFormat="1" ht="31.5" customHeight="1" thickBot="1">
      <c r="A121" s="9" t="s">
        <v>228</v>
      </c>
      <c r="B121" s="10" t="s">
        <v>226</v>
      </c>
      <c r="C121" s="95" t="s">
        <v>229</v>
      </c>
      <c r="D121" s="96" t="s">
        <v>228</v>
      </c>
      <c r="E121" s="99">
        <f>E122+E126+E127+E128+E129+E130</f>
        <v>3087425772.07</v>
      </c>
      <c r="F121" s="99">
        <f>F122+F126+F127+F128+F129+F130</f>
        <v>281978056.74999994</v>
      </c>
      <c r="G121" s="97">
        <f t="shared" si="25"/>
        <v>-2805447715.32</v>
      </c>
      <c r="H121" s="98">
        <f t="shared" si="21"/>
        <v>0.09133112099435009</v>
      </c>
      <c r="I121" s="99">
        <f>I122+I126+I127+I128+I129+I130</f>
        <v>2488499942.23</v>
      </c>
      <c r="J121" s="100" t="s">
        <v>230</v>
      </c>
      <c r="K121" s="99">
        <f>K122+K126+K127+K128+K129+K130</f>
        <v>357853955.45000005</v>
      </c>
      <c r="L121" s="100" t="s">
        <v>230</v>
      </c>
      <c r="M121" s="98">
        <f t="shared" si="27"/>
        <v>-0.8870241739458516</v>
      </c>
      <c r="N121" s="99">
        <f>N122+N126+N127+N130</f>
        <v>-2049398999.6</v>
      </c>
      <c r="O121" s="98">
        <f t="shared" si="14"/>
        <v>0.1438030796694812</v>
      </c>
      <c r="P121" s="99">
        <f t="shared" si="24"/>
        <v>75875898.7000001</v>
      </c>
      <c r="Q121" s="101"/>
    </row>
    <row r="122" spans="1:17" ht="86.25" customHeight="1" outlineLevel="2">
      <c r="A122" s="64" t="s">
        <v>231</v>
      </c>
      <c r="B122" s="65" t="s">
        <v>232</v>
      </c>
      <c r="C122" s="102" t="s">
        <v>233</v>
      </c>
      <c r="D122" s="103" t="s">
        <v>231</v>
      </c>
      <c r="E122" s="104">
        <v>473098326.55</v>
      </c>
      <c r="F122" s="104">
        <v>109911521.77</v>
      </c>
      <c r="G122" s="105">
        <f t="shared" si="25"/>
        <v>-363186804.78000003</v>
      </c>
      <c r="H122" s="106">
        <f t="shared" si="21"/>
        <v>0.232322787044109</v>
      </c>
      <c r="I122" s="104">
        <v>497698288.62</v>
      </c>
      <c r="J122" s="107" t="s">
        <v>230</v>
      </c>
      <c r="K122" s="104">
        <v>124424575.62</v>
      </c>
      <c r="L122" s="107" t="s">
        <v>230</v>
      </c>
      <c r="M122" s="106">
        <f t="shared" si="27"/>
        <v>-1.3703644572700822</v>
      </c>
      <c r="N122" s="85">
        <f aca="true" t="shared" si="28" ref="N122:N129">K122-I122</f>
        <v>-373273713</v>
      </c>
      <c r="O122" s="106">
        <f t="shared" si="14"/>
        <v>0.25000000696204927</v>
      </c>
      <c r="P122" s="104">
        <f t="shared" si="24"/>
        <v>14513053.850000009</v>
      </c>
      <c r="Q122" s="108"/>
    </row>
    <row r="123" spans="1:17" ht="42.75" customHeight="1" hidden="1" outlineLevel="3">
      <c r="A123" s="64" t="s">
        <v>234</v>
      </c>
      <c r="B123" s="65"/>
      <c r="C123" s="59" t="s">
        <v>235</v>
      </c>
      <c r="D123" s="60" t="s">
        <v>234</v>
      </c>
      <c r="E123" s="61"/>
      <c r="F123" s="61"/>
      <c r="G123" s="105">
        <f t="shared" si="25"/>
        <v>0</v>
      </c>
      <c r="H123" s="106" t="e">
        <f t="shared" si="21"/>
        <v>#DIV/0!</v>
      </c>
      <c r="I123" s="61"/>
      <c r="J123" s="61"/>
      <c r="K123" s="61"/>
      <c r="L123" s="61"/>
      <c r="M123" s="106" t="e">
        <f t="shared" si="27"/>
        <v>#DIV/0!</v>
      </c>
      <c r="N123" s="85">
        <f t="shared" si="28"/>
        <v>0</v>
      </c>
      <c r="O123" s="106" t="e">
        <f t="shared" si="14"/>
        <v>#DIV/0!</v>
      </c>
      <c r="P123" s="104">
        <f t="shared" si="24"/>
        <v>0</v>
      </c>
      <c r="Q123" s="109"/>
    </row>
    <row r="124" spans="1:17" ht="71.25" customHeight="1" hidden="1" outlineLevel="4">
      <c r="A124" s="64" t="s">
        <v>236</v>
      </c>
      <c r="B124" s="65"/>
      <c r="C124" s="59" t="s">
        <v>237</v>
      </c>
      <c r="D124" s="60" t="s">
        <v>236</v>
      </c>
      <c r="E124" s="61"/>
      <c r="F124" s="61"/>
      <c r="G124" s="105">
        <f t="shared" si="25"/>
        <v>0</v>
      </c>
      <c r="H124" s="106" t="e">
        <f t="shared" si="21"/>
        <v>#DIV/0!</v>
      </c>
      <c r="I124" s="61"/>
      <c r="J124" s="61"/>
      <c r="K124" s="61"/>
      <c r="L124" s="61"/>
      <c r="M124" s="106" t="e">
        <f t="shared" si="27"/>
        <v>#DIV/0!</v>
      </c>
      <c r="N124" s="85">
        <f t="shared" si="28"/>
        <v>0</v>
      </c>
      <c r="O124" s="106" t="e">
        <f t="shared" si="14"/>
        <v>#DIV/0!</v>
      </c>
      <c r="P124" s="104">
        <f t="shared" si="24"/>
        <v>0</v>
      </c>
      <c r="Q124" s="109"/>
    </row>
    <row r="125" spans="1:17" ht="71.25" customHeight="1" hidden="1" outlineLevel="5">
      <c r="A125" s="64" t="s">
        <v>236</v>
      </c>
      <c r="B125" s="65"/>
      <c r="C125" s="59" t="s">
        <v>238</v>
      </c>
      <c r="D125" s="60" t="s">
        <v>236</v>
      </c>
      <c r="E125" s="61"/>
      <c r="F125" s="61"/>
      <c r="G125" s="105">
        <f t="shared" si="25"/>
        <v>0</v>
      </c>
      <c r="H125" s="106" t="e">
        <f t="shared" si="21"/>
        <v>#DIV/0!</v>
      </c>
      <c r="I125" s="61"/>
      <c r="J125" s="61"/>
      <c r="K125" s="61"/>
      <c r="L125" s="61"/>
      <c r="M125" s="106" t="e">
        <f t="shared" si="27"/>
        <v>#DIV/0!</v>
      </c>
      <c r="N125" s="85">
        <f t="shared" si="28"/>
        <v>0</v>
      </c>
      <c r="O125" s="106" t="e">
        <f t="shared" si="14"/>
        <v>#DIV/0!</v>
      </c>
      <c r="P125" s="104">
        <f t="shared" si="24"/>
        <v>0</v>
      </c>
      <c r="Q125" s="109"/>
    </row>
    <row r="126" spans="1:17" ht="21" customHeight="1" outlineLevel="2" collapsed="1">
      <c r="A126" s="64" t="s">
        <v>239</v>
      </c>
      <c r="B126" s="65" t="s">
        <v>240</v>
      </c>
      <c r="C126" s="59" t="s">
        <v>241</v>
      </c>
      <c r="D126" s="60" t="s">
        <v>242</v>
      </c>
      <c r="E126" s="110">
        <v>1985905932.37</v>
      </c>
      <c r="F126" s="110">
        <v>41139962.56</v>
      </c>
      <c r="G126" s="105">
        <f t="shared" si="25"/>
        <v>-1944765969.81</v>
      </c>
      <c r="H126" s="106">
        <f t="shared" si="21"/>
        <v>0.020715967402797957</v>
      </c>
      <c r="I126" s="61">
        <v>1319253076.96</v>
      </c>
      <c r="J126" s="107" t="s">
        <v>230</v>
      </c>
      <c r="K126" s="110">
        <v>68769612.48</v>
      </c>
      <c r="L126" s="107" t="s">
        <v>230</v>
      </c>
      <c r="M126" s="106">
        <f t="shared" si="27"/>
        <v>-0.67836084003922</v>
      </c>
      <c r="N126" s="85">
        <f t="shared" si="28"/>
        <v>-1250483464.48</v>
      </c>
      <c r="O126" s="106">
        <f t="shared" si="14"/>
        <v>0.05212768776591992</v>
      </c>
      <c r="P126" s="104">
        <f t="shared" si="24"/>
        <v>27629649.92</v>
      </c>
      <c r="Q126" s="109"/>
    </row>
    <row r="127" spans="1:17" ht="22.5" customHeight="1" outlineLevel="5">
      <c r="A127" s="64" t="s">
        <v>243</v>
      </c>
      <c r="B127" s="65" t="s">
        <v>244</v>
      </c>
      <c r="C127" s="59" t="s">
        <v>245</v>
      </c>
      <c r="D127" s="60" t="s">
        <v>246</v>
      </c>
      <c r="E127" s="61">
        <v>520683169.05</v>
      </c>
      <c r="F127" s="61">
        <v>124766051.08</v>
      </c>
      <c r="G127" s="105">
        <f t="shared" si="25"/>
        <v>-395917117.97</v>
      </c>
      <c r="H127" s="106">
        <f t="shared" si="21"/>
        <v>0.23961990418787477</v>
      </c>
      <c r="I127" s="61">
        <v>569417931.96</v>
      </c>
      <c r="J127" s="107" t="s">
        <v>230</v>
      </c>
      <c r="K127" s="61">
        <v>143776109.84</v>
      </c>
      <c r="L127" s="107" t="s">
        <v>230</v>
      </c>
      <c r="M127" s="106">
        <f t="shared" si="27"/>
        <v>-1.4382250883204972</v>
      </c>
      <c r="N127" s="85">
        <f t="shared" si="28"/>
        <v>-425641822.12</v>
      </c>
      <c r="O127" s="106">
        <f t="shared" si="14"/>
        <v>0.2524966316833518</v>
      </c>
      <c r="P127" s="104">
        <f t="shared" si="24"/>
        <v>19010058.760000005</v>
      </c>
      <c r="Q127" s="109"/>
    </row>
    <row r="128" spans="1:17" ht="22.5" customHeight="1" outlineLevel="5">
      <c r="A128" s="64"/>
      <c r="B128" s="65" t="s">
        <v>247</v>
      </c>
      <c r="C128" s="59" t="s">
        <v>248</v>
      </c>
      <c r="D128" s="60"/>
      <c r="E128" s="61">
        <v>110208359.34</v>
      </c>
      <c r="F128" s="61">
        <v>6453851.26</v>
      </c>
      <c r="G128" s="105">
        <f t="shared" si="25"/>
        <v>-103754508.08</v>
      </c>
      <c r="H128" s="106">
        <f t="shared" si="21"/>
        <v>0.05856045130015452</v>
      </c>
      <c r="I128" s="61">
        <v>101193974.92</v>
      </c>
      <c r="J128" s="107" t="s">
        <v>230</v>
      </c>
      <c r="K128" s="61">
        <v>19946987.74</v>
      </c>
      <c r="L128" s="107" t="s">
        <v>230</v>
      </c>
      <c r="M128" s="106"/>
      <c r="N128" s="85">
        <f t="shared" si="28"/>
        <v>-81246987.18</v>
      </c>
      <c r="O128" s="106"/>
      <c r="P128" s="104">
        <f t="shared" si="24"/>
        <v>13493136.479999999</v>
      </c>
      <c r="Q128" s="109"/>
    </row>
    <row r="129" spans="1:17" ht="54" customHeight="1" outlineLevel="5">
      <c r="A129" s="64"/>
      <c r="B129" s="65" t="s">
        <v>249</v>
      </c>
      <c r="C129" s="59" t="s">
        <v>250</v>
      </c>
      <c r="D129" s="60"/>
      <c r="E129" s="85">
        <v>1669917.56</v>
      </c>
      <c r="F129" s="85"/>
      <c r="G129" s="105"/>
      <c r="H129" s="106"/>
      <c r="I129" s="61">
        <v>936811.59</v>
      </c>
      <c r="J129" s="107" t="s">
        <v>230</v>
      </c>
      <c r="K129" s="85">
        <v>936811.59</v>
      </c>
      <c r="L129" s="107" t="s">
        <v>230</v>
      </c>
      <c r="M129" s="106"/>
      <c r="N129" s="85">
        <f t="shared" si="28"/>
        <v>0</v>
      </c>
      <c r="O129" s="106"/>
      <c r="P129" s="104">
        <f t="shared" si="24"/>
        <v>936811.59</v>
      </c>
      <c r="Q129" s="109"/>
    </row>
    <row r="130" spans="1:17" ht="40.5" customHeight="1" outlineLevel="1">
      <c r="A130" s="64" t="s">
        <v>251</v>
      </c>
      <c r="B130" s="65" t="s">
        <v>252</v>
      </c>
      <c r="C130" s="59" t="s">
        <v>253</v>
      </c>
      <c r="D130" s="60" t="s">
        <v>251</v>
      </c>
      <c r="E130" s="85">
        <v>-4139932.8</v>
      </c>
      <c r="F130" s="85">
        <v>-293329.92</v>
      </c>
      <c r="G130" s="105">
        <f t="shared" si="25"/>
        <v>3846602.88</v>
      </c>
      <c r="H130" s="106">
        <f t="shared" si="21"/>
        <v>0.0708537877716276</v>
      </c>
      <c r="I130" s="61">
        <v>-141.82</v>
      </c>
      <c r="J130" s="107" t="s">
        <v>230</v>
      </c>
      <c r="K130" s="85">
        <v>-141.82</v>
      </c>
      <c r="L130" s="107" t="s">
        <v>230</v>
      </c>
      <c r="M130" s="63"/>
      <c r="N130" s="85">
        <f>K130-I130</f>
        <v>0</v>
      </c>
      <c r="O130" s="63"/>
      <c r="P130" s="104">
        <f t="shared" si="24"/>
        <v>293188.1</v>
      </c>
      <c r="Q130" s="109"/>
    </row>
    <row r="131" spans="1:17" s="118" customFormat="1" ht="23.25" customHeight="1">
      <c r="A131" s="506" t="s">
        <v>254</v>
      </c>
      <c r="B131" s="507"/>
      <c r="C131" s="508"/>
      <c r="D131" s="509"/>
      <c r="E131" s="115">
        <f>E121+E11</f>
        <v>3513539007.31</v>
      </c>
      <c r="F131" s="115">
        <f>F121+F11</f>
        <v>362099274.0899999</v>
      </c>
      <c r="G131" s="111">
        <f>F131-E131</f>
        <v>-3151439733.2200003</v>
      </c>
      <c r="H131" s="112">
        <f>F131/E131</f>
        <v>0.10305827638077844</v>
      </c>
      <c r="I131" s="113">
        <f>I121+I11</f>
        <v>2872550108.4700003</v>
      </c>
      <c r="J131" s="114" t="s">
        <v>230</v>
      </c>
      <c r="K131" s="115">
        <f>K121+K11</f>
        <v>446073571.18000007</v>
      </c>
      <c r="L131" s="114" t="s">
        <v>230</v>
      </c>
      <c r="M131" s="112">
        <f>I131/G131</f>
        <v>-0.9115040589828944</v>
      </c>
      <c r="N131" s="115">
        <f>N121+N11</f>
        <v>-2345229550.1099997</v>
      </c>
      <c r="O131" s="112">
        <f>K131/I131</f>
        <v>0.15528835158165133</v>
      </c>
      <c r="P131" s="116">
        <f>K131-F131</f>
        <v>83974297.09000015</v>
      </c>
      <c r="Q131" s="117"/>
    </row>
    <row r="132" spans="1:17" s="129" customFormat="1" ht="24.75" customHeight="1">
      <c r="A132" s="119"/>
      <c r="B132" s="120">
        <v>46</v>
      </c>
      <c r="C132" s="121" t="s">
        <v>255</v>
      </c>
      <c r="D132" s="122"/>
      <c r="E132" s="123">
        <v>39027</v>
      </c>
      <c r="F132" s="123">
        <v>53889.44</v>
      </c>
      <c r="G132" s="124"/>
      <c r="H132" s="125"/>
      <c r="I132" s="126"/>
      <c r="J132" s="126"/>
      <c r="K132" s="123">
        <v>-39027</v>
      </c>
      <c r="L132" s="126"/>
      <c r="M132" s="125"/>
      <c r="N132" s="123"/>
      <c r="O132" s="125"/>
      <c r="P132" s="127"/>
      <c r="Q132" s="128"/>
    </row>
    <row r="133" spans="1:17" s="118" customFormat="1" ht="26.25" customHeight="1" thickBot="1">
      <c r="A133" s="130"/>
      <c r="B133" s="131"/>
      <c r="C133" s="131"/>
      <c r="D133" s="131"/>
      <c r="E133" s="136">
        <f>E131++E132</f>
        <v>3513578034.31</v>
      </c>
      <c r="F133" s="136">
        <f>F131++F132</f>
        <v>362153163.5299999</v>
      </c>
      <c r="G133" s="132">
        <f>F133-E133</f>
        <v>-3151424870.78</v>
      </c>
      <c r="H133" s="133">
        <f>F133/E133</f>
        <v>0.10307246914500931</v>
      </c>
      <c r="I133" s="134">
        <f>I131++I132</f>
        <v>2872550108.4700003</v>
      </c>
      <c r="J133" s="135" t="s">
        <v>230</v>
      </c>
      <c r="K133" s="136">
        <f>K131++K132</f>
        <v>446034544.18000007</v>
      </c>
      <c r="L133" s="137" t="s">
        <v>230</v>
      </c>
      <c r="M133" s="133">
        <f>I133/G133</f>
        <v>-0.9115083577286814</v>
      </c>
      <c r="N133" s="136">
        <f>N131++N132</f>
        <v>-2345229550.1099997</v>
      </c>
      <c r="O133" s="133">
        <f>K133/I133</f>
        <v>0.155274765395675</v>
      </c>
      <c r="P133" s="132">
        <f>K133-F133</f>
        <v>83881380.65000015</v>
      </c>
      <c r="Q133" s="138"/>
    </row>
    <row r="134" ht="15">
      <c r="E134" s="139"/>
    </row>
    <row r="137" ht="15">
      <c r="E137" s="139"/>
    </row>
  </sheetData>
  <sheetProtection/>
  <mergeCells count="26">
    <mergeCell ref="A131:D131"/>
    <mergeCell ref="Q7:Q9"/>
    <mergeCell ref="A8:A9"/>
    <mergeCell ref="E8:E9"/>
    <mergeCell ref="F8:F9"/>
    <mergeCell ref="G8:G9"/>
    <mergeCell ref="H8:H9"/>
    <mergeCell ref="I8:I9"/>
    <mergeCell ref="J8:J9"/>
    <mergeCell ref="K8:K9"/>
    <mergeCell ref="L8:L9"/>
    <mergeCell ref="B7:B9"/>
    <mergeCell ref="C7:C9"/>
    <mergeCell ref="D7:D9"/>
    <mergeCell ref="E7:H7"/>
    <mergeCell ref="I7:O7"/>
    <mergeCell ref="P7:P9"/>
    <mergeCell ref="M8:M9"/>
    <mergeCell ref="N8:N9"/>
    <mergeCell ref="O8:O9"/>
    <mergeCell ref="A1:D1"/>
    <mergeCell ref="A2:D2"/>
    <mergeCell ref="A3:D3"/>
    <mergeCell ref="A4:Q4"/>
    <mergeCell ref="A5:D5"/>
    <mergeCell ref="A6:Q6"/>
  </mergeCells>
  <printOptions horizontalCentered="1"/>
  <pageMargins left="0" right="0" top="0.1968503937007874" bottom="0" header="0.3937007874015748" footer="0.3937007874015748"/>
  <pageSetup blackAndWhite="1" errors="blank" fitToHeight="0" fitToWidth="1" horizontalDpi="600" verticalDpi="600" orientation="landscape" paperSize="9" scale="56" r:id="rId1"/>
</worksheet>
</file>

<file path=xl/worksheets/sheet15.xml><?xml version="1.0" encoding="utf-8"?>
<worksheet xmlns="http://schemas.openxmlformats.org/spreadsheetml/2006/main" xmlns:r="http://schemas.openxmlformats.org/officeDocument/2006/relationships">
  <sheetPr>
    <tabColor theme="0" tint="-0.04997999966144562"/>
    <pageSetUpPr fitToPage="1"/>
  </sheetPr>
  <dimension ref="A1:Q137"/>
  <sheetViews>
    <sheetView showGridLines="0" showZeros="0" view="pageBreakPreview" zoomScale="85" zoomScaleNormal="75" zoomScaleSheetLayoutView="85" zoomScalePageLayoutView="0" workbookViewId="0" topLeftCell="B1">
      <pane ySplit="9" topLeftCell="A126" activePane="bottomLeft" state="frozen"/>
      <selection pane="topLeft" activeCell="A1" sqref="A1"/>
      <selection pane="bottomLeft" activeCell="I133" sqref="I133"/>
    </sheetView>
  </sheetViews>
  <sheetFormatPr defaultColWidth="9.140625" defaultRowHeight="15" outlineLevelRow="5"/>
  <cols>
    <col min="1" max="1" width="9.140625" style="1" hidden="1" customWidth="1"/>
    <col min="2" max="2" width="5.28125" style="1" customWidth="1"/>
    <col min="3" max="3" width="27.421875" style="2" customWidth="1"/>
    <col min="4" max="4" width="18.00390625" style="1" hidden="1" customWidth="1"/>
    <col min="5" max="6" width="21.421875" style="1" bestFit="1" customWidth="1"/>
    <col min="7" max="7" width="20.57421875" style="1" customWidth="1"/>
    <col min="8" max="8" width="10.28125" style="1" customWidth="1"/>
    <col min="9" max="9" width="20.28125" style="1" customWidth="1"/>
    <col min="10" max="10" width="17.57421875" style="1" hidden="1" customWidth="1"/>
    <col min="11" max="11" width="21.421875" style="1" bestFit="1" customWidth="1"/>
    <col min="12" max="12" width="19.140625" style="1" hidden="1" customWidth="1"/>
    <col min="13" max="13" width="14.28125" style="1" hidden="1" customWidth="1"/>
    <col min="14" max="14" width="21.140625" style="1" customWidth="1"/>
    <col min="15" max="15" width="13.8515625" style="1" customWidth="1"/>
    <col min="16" max="16" width="19.28125" style="1" customWidth="1"/>
    <col min="17" max="17" width="50.28125" style="2" bestFit="1" customWidth="1"/>
    <col min="18" max="16384" width="9.140625" style="1" customWidth="1"/>
  </cols>
  <sheetData>
    <row r="1" spans="1:4" ht="13.5" customHeight="1">
      <c r="A1" s="535" t="s">
        <v>0</v>
      </c>
      <c r="B1" s="535"/>
      <c r="C1" s="536"/>
      <c r="D1" s="536"/>
    </row>
    <row r="2" spans="1:4" ht="15" customHeight="1" hidden="1">
      <c r="A2" s="535"/>
      <c r="B2" s="535"/>
      <c r="C2" s="536"/>
      <c r="D2" s="536"/>
    </row>
    <row r="3" spans="1:4" ht="18">
      <c r="A3" s="537" t="s">
        <v>272</v>
      </c>
      <c r="B3" s="575"/>
      <c r="C3" s="576"/>
      <c r="D3" s="576"/>
    </row>
    <row r="4" spans="1:17" ht="15" customHeight="1">
      <c r="A4" s="538" t="s">
        <v>270</v>
      </c>
      <c r="B4" s="538"/>
      <c r="C4" s="538"/>
      <c r="D4" s="538"/>
      <c r="E4" s="538"/>
      <c r="F4" s="538"/>
      <c r="G4" s="538"/>
      <c r="H4" s="538"/>
      <c r="I4" s="538"/>
      <c r="J4" s="538"/>
      <c r="K4" s="538"/>
      <c r="L4" s="538"/>
      <c r="M4" s="538"/>
      <c r="N4" s="538"/>
      <c r="O4" s="538"/>
      <c r="P4" s="538"/>
      <c r="Q4" s="538"/>
    </row>
    <row r="5" spans="1:4" ht="0.75" customHeight="1">
      <c r="A5" s="539"/>
      <c r="B5" s="539"/>
      <c r="C5" s="540"/>
      <c r="D5" s="540"/>
    </row>
    <row r="6" spans="1:17" ht="12.75" customHeight="1" thickBot="1">
      <c r="A6" s="541" t="s">
        <v>1</v>
      </c>
      <c r="B6" s="541"/>
      <c r="C6" s="541"/>
      <c r="D6" s="541"/>
      <c r="E6" s="541"/>
      <c r="F6" s="541"/>
      <c r="G6" s="541"/>
      <c r="H6" s="541"/>
      <c r="I6" s="541"/>
      <c r="J6" s="541"/>
      <c r="K6" s="541"/>
      <c r="L6" s="541"/>
      <c r="M6" s="541"/>
      <c r="N6" s="541"/>
      <c r="O6" s="541"/>
      <c r="P6" s="541"/>
      <c r="Q6" s="541"/>
    </row>
    <row r="7" spans="1:17" s="4" customFormat="1" ht="24" customHeight="1">
      <c r="A7" s="3"/>
      <c r="B7" s="524"/>
      <c r="C7" s="525" t="s">
        <v>2</v>
      </c>
      <c r="D7" s="527" t="s">
        <v>3</v>
      </c>
      <c r="E7" s="530">
        <v>2022</v>
      </c>
      <c r="F7" s="530"/>
      <c r="G7" s="530"/>
      <c r="H7" s="531"/>
      <c r="I7" s="532">
        <v>2023</v>
      </c>
      <c r="J7" s="530"/>
      <c r="K7" s="530"/>
      <c r="L7" s="530"/>
      <c r="M7" s="530"/>
      <c r="N7" s="530"/>
      <c r="O7" s="531"/>
      <c r="P7" s="533" t="s">
        <v>262</v>
      </c>
      <c r="Q7" s="510" t="s">
        <v>4</v>
      </c>
    </row>
    <row r="8" spans="1:17" s="4" customFormat="1" ht="24" customHeight="1">
      <c r="A8" s="512" t="s">
        <v>5</v>
      </c>
      <c r="B8" s="524"/>
      <c r="C8" s="526"/>
      <c r="D8" s="528"/>
      <c r="E8" s="514" t="s">
        <v>261</v>
      </c>
      <c r="F8" s="516" t="s">
        <v>271</v>
      </c>
      <c r="G8" s="514" t="s">
        <v>6</v>
      </c>
      <c r="H8" s="519" t="s">
        <v>7</v>
      </c>
      <c r="I8" s="516" t="s">
        <v>8</v>
      </c>
      <c r="J8" s="516" t="s">
        <v>9</v>
      </c>
      <c r="K8" s="516" t="s">
        <v>271</v>
      </c>
      <c r="L8" s="523" t="s">
        <v>10</v>
      </c>
      <c r="M8" s="516" t="s">
        <v>11</v>
      </c>
      <c r="N8" s="523" t="s">
        <v>12</v>
      </c>
      <c r="O8" s="516" t="s">
        <v>13</v>
      </c>
      <c r="P8" s="534"/>
      <c r="Q8" s="511"/>
    </row>
    <row r="9" spans="1:17" s="4" customFormat="1" ht="57.75" customHeight="1">
      <c r="A9" s="513"/>
      <c r="B9" s="524"/>
      <c r="C9" s="526"/>
      <c r="D9" s="529"/>
      <c r="E9" s="515"/>
      <c r="F9" s="517"/>
      <c r="G9" s="518"/>
      <c r="H9" s="520"/>
      <c r="I9" s="517"/>
      <c r="J9" s="517"/>
      <c r="K9" s="517"/>
      <c r="L9" s="518"/>
      <c r="M9" s="517"/>
      <c r="N9" s="518"/>
      <c r="O9" s="517"/>
      <c r="P9" s="534"/>
      <c r="Q9" s="511"/>
    </row>
    <row r="10" spans="1:17" s="4" customFormat="1" ht="21" customHeight="1">
      <c r="A10" s="150"/>
      <c r="B10" s="6"/>
      <c r="C10" s="7">
        <v>1</v>
      </c>
      <c r="D10" s="151">
        <v>2</v>
      </c>
      <c r="E10" s="151">
        <v>9</v>
      </c>
      <c r="F10" s="151">
        <v>9</v>
      </c>
      <c r="G10" s="151">
        <v>5</v>
      </c>
      <c r="H10" s="151">
        <v>6</v>
      </c>
      <c r="I10" s="151">
        <v>7</v>
      </c>
      <c r="J10" s="151">
        <v>8</v>
      </c>
      <c r="K10" s="151">
        <v>9</v>
      </c>
      <c r="L10" s="151">
        <v>10</v>
      </c>
      <c r="M10" s="151">
        <v>11</v>
      </c>
      <c r="N10" s="151">
        <v>12</v>
      </c>
      <c r="O10" s="151">
        <v>13</v>
      </c>
      <c r="P10" s="151">
        <v>14</v>
      </c>
      <c r="Q10" s="151">
        <v>15</v>
      </c>
    </row>
    <row r="11" spans="1:17" s="16" customFormat="1" ht="33" customHeight="1" thickBot="1">
      <c r="A11" s="9" t="s">
        <v>14</v>
      </c>
      <c r="B11" s="10" t="s">
        <v>15</v>
      </c>
      <c r="C11" s="11" t="s">
        <v>16</v>
      </c>
      <c r="D11" s="12" t="s">
        <v>14</v>
      </c>
      <c r="E11" s="13">
        <f>E12+E80</f>
        <v>426113235.23999995</v>
      </c>
      <c r="F11" s="13">
        <f>F12+F80</f>
        <v>80121217.34</v>
      </c>
      <c r="G11" s="13">
        <f>F11-E11</f>
        <v>-345992017.9</v>
      </c>
      <c r="H11" s="14">
        <f>F11/E11</f>
        <v>0.18802799517567975</v>
      </c>
      <c r="I11" s="13">
        <f>I12+I80</f>
        <v>384050166.24</v>
      </c>
      <c r="J11" s="13">
        <f>J12+J80</f>
        <v>16636685.38</v>
      </c>
      <c r="K11" s="13">
        <f>K12+K80</f>
        <v>88498007.47</v>
      </c>
      <c r="L11" s="13">
        <f>K11-J11</f>
        <v>71861322.09</v>
      </c>
      <c r="M11" s="14">
        <f>K11/J11</f>
        <v>5.319449484594388</v>
      </c>
      <c r="N11" s="13">
        <f>K11-I11</f>
        <v>-295552158.77</v>
      </c>
      <c r="O11" s="14">
        <f>K11/I11</f>
        <v>0.2304334570049267</v>
      </c>
      <c r="P11" s="13">
        <f>K11-F11</f>
        <v>8376790.129999995</v>
      </c>
      <c r="Q11" s="15"/>
    </row>
    <row r="12" spans="1:17" s="16" customFormat="1" ht="33" customHeight="1">
      <c r="A12" s="9"/>
      <c r="B12" s="17" t="s">
        <v>17</v>
      </c>
      <c r="C12" s="18" t="s">
        <v>18</v>
      </c>
      <c r="D12" s="19"/>
      <c r="E12" s="20">
        <f>E13+E39+E40+E62+E66+E76</f>
        <v>352618682.34999996</v>
      </c>
      <c r="F12" s="20">
        <f>F13+F39+F40+F62+F66+F76</f>
        <v>65604663.39</v>
      </c>
      <c r="G12" s="20">
        <f>F12-E12</f>
        <v>-287014018.96</v>
      </c>
      <c r="H12" s="21">
        <f>F12/E12</f>
        <v>0.18604987958318825</v>
      </c>
      <c r="I12" s="20">
        <f>I13+I39+I40+I62+I66+I76</f>
        <v>323080657.63</v>
      </c>
      <c r="J12" s="20">
        <f>J13+J39+J40+J62+J66+J76</f>
        <v>14406368.9</v>
      </c>
      <c r="K12" s="20">
        <f>K13+K39+K40+K62+K66+K76</f>
        <v>46532031.55</v>
      </c>
      <c r="L12" s="22">
        <f>K12-J12</f>
        <v>32125662.65</v>
      </c>
      <c r="M12" s="21">
        <f>I12/G12</f>
        <v>-1.1256615924221685</v>
      </c>
      <c r="N12" s="22">
        <f>K12-I12</f>
        <v>-276548626.08</v>
      </c>
      <c r="O12" s="21">
        <f>K12/I12</f>
        <v>0.14402605185758177</v>
      </c>
      <c r="P12" s="20">
        <f>K12-F12</f>
        <v>-19072631.840000004</v>
      </c>
      <c r="Q12" s="23"/>
    </row>
    <row r="13" spans="1:17" s="32" customFormat="1" ht="52.5" customHeight="1" outlineLevel="2">
      <c r="A13" s="24" t="s">
        <v>19</v>
      </c>
      <c r="B13" s="25" t="s">
        <v>20</v>
      </c>
      <c r="C13" s="26" t="s">
        <v>21</v>
      </c>
      <c r="D13" s="27" t="s">
        <v>19</v>
      </c>
      <c r="E13" s="141">
        <v>190630093.23</v>
      </c>
      <c r="F13" s="141">
        <v>34434419.43</v>
      </c>
      <c r="G13" s="145">
        <f>F13-E13</f>
        <v>-156195673.79999998</v>
      </c>
      <c r="H13" s="29">
        <f>F13/E13</f>
        <v>0.1806347510330072</v>
      </c>
      <c r="I13" s="28">
        <v>179717500</v>
      </c>
      <c r="J13" s="30">
        <v>8290000</v>
      </c>
      <c r="K13" s="141">
        <f>19958521.45+10689405.71-189686.95</f>
        <v>30458240.21</v>
      </c>
      <c r="L13" s="28">
        <f>K13-J13</f>
        <v>22168240.21</v>
      </c>
      <c r="M13" s="29">
        <f>K13/J13</f>
        <v>3.6740941145958987</v>
      </c>
      <c r="N13" s="28">
        <f>K13-I13</f>
        <v>-149259259.79</v>
      </c>
      <c r="O13" s="29">
        <f aca="true" t="shared" si="0" ref="O13:O78">K13/I13</f>
        <v>0.16947843259560144</v>
      </c>
      <c r="P13" s="28">
        <f>K13-F13</f>
        <v>-3976179.219999999</v>
      </c>
      <c r="Q13" s="31" t="s">
        <v>266</v>
      </c>
    </row>
    <row r="14" spans="1:17" s="32" customFormat="1" ht="6.75" customHeight="1" outlineLevel="2">
      <c r="A14" s="24"/>
      <c r="B14" s="33"/>
      <c r="C14" s="34"/>
      <c r="D14" s="35"/>
      <c r="E14" s="42"/>
      <c r="F14" s="39"/>
      <c r="G14" s="146"/>
      <c r="H14" s="38"/>
      <c r="I14" s="36"/>
      <c r="J14" s="142"/>
      <c r="K14" s="142"/>
      <c r="L14" s="36"/>
      <c r="M14" s="38"/>
      <c r="N14" s="36"/>
      <c r="O14" s="38"/>
      <c r="P14" s="36"/>
      <c r="Q14" s="40"/>
    </row>
    <row r="15" spans="1:17" s="32" customFormat="1" ht="15.75" customHeight="1" hidden="1" outlineLevel="3">
      <c r="A15" s="24" t="s">
        <v>22</v>
      </c>
      <c r="B15" s="33"/>
      <c r="C15" s="41" t="s">
        <v>23</v>
      </c>
      <c r="D15" s="143" t="s">
        <v>22</v>
      </c>
      <c r="E15" s="51"/>
      <c r="F15" s="42"/>
      <c r="G15" s="43">
        <f aca="true" t="shared" si="1" ref="G15:G40">F15-E15</f>
        <v>0</v>
      </c>
      <c r="H15" s="44" t="e">
        <f aca="true" t="shared" si="2" ref="H15:H40">F15/E15</f>
        <v>#DIV/0!</v>
      </c>
      <c r="I15" s="42">
        <v>148555700</v>
      </c>
      <c r="J15" s="42"/>
      <c r="K15" s="42"/>
      <c r="L15" s="42"/>
      <c r="M15" s="45" t="e">
        <f aca="true" t="shared" si="3" ref="M15:M75">I15/G15</f>
        <v>#DIV/0!</v>
      </c>
      <c r="N15" s="42"/>
      <c r="O15" s="45">
        <f t="shared" si="0"/>
        <v>0</v>
      </c>
      <c r="P15" s="46">
        <f aca="true" t="shared" si="4" ref="P15:P40">K15-F15</f>
        <v>0</v>
      </c>
      <c r="Q15" s="47"/>
    </row>
    <row r="16" spans="1:17" s="32" customFormat="1" ht="210" customHeight="1" hidden="1" outlineLevel="4">
      <c r="A16" s="24" t="s">
        <v>24</v>
      </c>
      <c r="B16" s="48"/>
      <c r="C16" s="49" t="s">
        <v>25</v>
      </c>
      <c r="D16" s="144" t="s">
        <v>24</v>
      </c>
      <c r="E16" s="51"/>
      <c r="F16" s="51"/>
      <c r="G16" s="52">
        <f t="shared" si="1"/>
        <v>0</v>
      </c>
      <c r="H16" s="53" t="e">
        <f t="shared" si="2"/>
        <v>#DIV/0!</v>
      </c>
      <c r="I16" s="51">
        <v>148555700</v>
      </c>
      <c r="J16" s="51"/>
      <c r="K16" s="51"/>
      <c r="L16" s="51"/>
      <c r="M16" s="54" t="e">
        <f t="shared" si="3"/>
        <v>#DIV/0!</v>
      </c>
      <c r="N16" s="51"/>
      <c r="O16" s="54">
        <f t="shared" si="0"/>
        <v>0</v>
      </c>
      <c r="P16" s="55">
        <f t="shared" si="4"/>
        <v>0</v>
      </c>
      <c r="Q16" s="56"/>
    </row>
    <row r="17" spans="1:17" s="32" customFormat="1" ht="210" customHeight="1" hidden="1" outlineLevel="5">
      <c r="A17" s="24" t="s">
        <v>24</v>
      </c>
      <c r="B17" s="48"/>
      <c r="C17" s="49" t="s">
        <v>26</v>
      </c>
      <c r="D17" s="144" t="s">
        <v>24</v>
      </c>
      <c r="E17" s="51"/>
      <c r="F17" s="51"/>
      <c r="G17" s="52">
        <f t="shared" si="1"/>
        <v>0</v>
      </c>
      <c r="H17" s="53" t="e">
        <f t="shared" si="2"/>
        <v>#DIV/0!</v>
      </c>
      <c r="I17" s="51">
        <v>148555700</v>
      </c>
      <c r="J17" s="51"/>
      <c r="K17" s="51"/>
      <c r="L17" s="51"/>
      <c r="M17" s="54" t="e">
        <f t="shared" si="3"/>
        <v>#DIV/0!</v>
      </c>
      <c r="N17" s="51"/>
      <c r="O17" s="54">
        <f t="shared" si="0"/>
        <v>0</v>
      </c>
      <c r="P17" s="55">
        <f t="shared" si="4"/>
        <v>0</v>
      </c>
      <c r="Q17" s="56"/>
    </row>
    <row r="18" spans="1:17" s="32" customFormat="1" ht="210" customHeight="1" hidden="1" outlineLevel="5">
      <c r="A18" s="24" t="s">
        <v>27</v>
      </c>
      <c r="B18" s="48"/>
      <c r="C18" s="49" t="s">
        <v>28</v>
      </c>
      <c r="D18" s="144" t="s">
        <v>27</v>
      </c>
      <c r="E18" s="51"/>
      <c r="F18" s="51"/>
      <c r="G18" s="52">
        <f t="shared" si="1"/>
        <v>0</v>
      </c>
      <c r="H18" s="53" t="e">
        <f t="shared" si="2"/>
        <v>#DIV/0!</v>
      </c>
      <c r="I18" s="51">
        <v>0</v>
      </c>
      <c r="J18" s="51"/>
      <c r="K18" s="51"/>
      <c r="L18" s="51"/>
      <c r="M18" s="54" t="e">
        <f t="shared" si="3"/>
        <v>#DIV/0!</v>
      </c>
      <c r="N18" s="51"/>
      <c r="O18" s="54" t="e">
        <f t="shared" si="0"/>
        <v>#DIV/0!</v>
      </c>
      <c r="P18" s="55">
        <f t="shared" si="4"/>
        <v>0</v>
      </c>
      <c r="Q18" s="56"/>
    </row>
    <row r="19" spans="1:17" s="32" customFormat="1" ht="210" customHeight="1" hidden="1" outlineLevel="5">
      <c r="A19" s="24" t="s">
        <v>29</v>
      </c>
      <c r="B19" s="48"/>
      <c r="C19" s="49" t="s">
        <v>26</v>
      </c>
      <c r="D19" s="144" t="s">
        <v>29</v>
      </c>
      <c r="E19" s="51"/>
      <c r="F19" s="51"/>
      <c r="G19" s="52">
        <f t="shared" si="1"/>
        <v>0</v>
      </c>
      <c r="H19" s="53" t="e">
        <f t="shared" si="2"/>
        <v>#DIV/0!</v>
      </c>
      <c r="I19" s="51">
        <v>0</v>
      </c>
      <c r="J19" s="51"/>
      <c r="K19" s="51"/>
      <c r="L19" s="51"/>
      <c r="M19" s="54" t="e">
        <f t="shared" si="3"/>
        <v>#DIV/0!</v>
      </c>
      <c r="N19" s="51"/>
      <c r="O19" s="54" t="e">
        <f t="shared" si="0"/>
        <v>#DIV/0!</v>
      </c>
      <c r="P19" s="55">
        <f t="shared" si="4"/>
        <v>0</v>
      </c>
      <c r="Q19" s="56"/>
    </row>
    <row r="20" spans="1:17" s="32" customFormat="1" ht="210" customHeight="1" hidden="1" outlineLevel="5">
      <c r="A20" s="24" t="s">
        <v>30</v>
      </c>
      <c r="B20" s="48"/>
      <c r="C20" s="49" t="s">
        <v>26</v>
      </c>
      <c r="D20" s="144" t="s">
        <v>30</v>
      </c>
      <c r="E20" s="51"/>
      <c r="F20" s="51"/>
      <c r="G20" s="52">
        <f t="shared" si="1"/>
        <v>0</v>
      </c>
      <c r="H20" s="53" t="e">
        <f t="shared" si="2"/>
        <v>#DIV/0!</v>
      </c>
      <c r="I20" s="51">
        <v>0</v>
      </c>
      <c r="J20" s="51"/>
      <c r="K20" s="51"/>
      <c r="L20" s="51"/>
      <c r="M20" s="54" t="e">
        <f t="shared" si="3"/>
        <v>#DIV/0!</v>
      </c>
      <c r="N20" s="51"/>
      <c r="O20" s="54" t="e">
        <f t="shared" si="0"/>
        <v>#DIV/0!</v>
      </c>
      <c r="P20" s="55">
        <f t="shared" si="4"/>
        <v>0</v>
      </c>
      <c r="Q20" s="56"/>
    </row>
    <row r="21" spans="1:17" s="32" customFormat="1" ht="210" customHeight="1" hidden="1" outlineLevel="5">
      <c r="A21" s="24" t="s">
        <v>31</v>
      </c>
      <c r="B21" s="48"/>
      <c r="C21" s="49" t="s">
        <v>28</v>
      </c>
      <c r="D21" s="144" t="s">
        <v>31</v>
      </c>
      <c r="E21" s="51"/>
      <c r="F21" s="51"/>
      <c r="G21" s="52">
        <f t="shared" si="1"/>
        <v>0</v>
      </c>
      <c r="H21" s="53" t="e">
        <f t="shared" si="2"/>
        <v>#DIV/0!</v>
      </c>
      <c r="I21" s="51">
        <v>0</v>
      </c>
      <c r="J21" s="51"/>
      <c r="K21" s="51"/>
      <c r="L21" s="51"/>
      <c r="M21" s="54" t="e">
        <f t="shared" si="3"/>
        <v>#DIV/0!</v>
      </c>
      <c r="N21" s="51"/>
      <c r="O21" s="54" t="e">
        <f t="shared" si="0"/>
        <v>#DIV/0!</v>
      </c>
      <c r="P21" s="55">
        <f t="shared" si="4"/>
        <v>0</v>
      </c>
      <c r="Q21" s="56"/>
    </row>
    <row r="22" spans="1:17" s="32" customFormat="1" ht="15.75" customHeight="1" hidden="1" outlineLevel="3">
      <c r="A22" s="24" t="s">
        <v>32</v>
      </c>
      <c r="B22" s="48"/>
      <c r="C22" s="49" t="s">
        <v>23</v>
      </c>
      <c r="D22" s="144" t="s">
        <v>32</v>
      </c>
      <c r="E22" s="51"/>
      <c r="F22" s="51"/>
      <c r="G22" s="52">
        <f t="shared" si="1"/>
        <v>0</v>
      </c>
      <c r="H22" s="53" t="e">
        <f t="shared" si="2"/>
        <v>#DIV/0!</v>
      </c>
      <c r="I22" s="51">
        <v>750300</v>
      </c>
      <c r="J22" s="51"/>
      <c r="K22" s="51"/>
      <c r="L22" s="51"/>
      <c r="M22" s="54" t="e">
        <f t="shared" si="3"/>
        <v>#DIV/0!</v>
      </c>
      <c r="N22" s="51"/>
      <c r="O22" s="54">
        <f t="shared" si="0"/>
        <v>0</v>
      </c>
      <c r="P22" s="55">
        <f t="shared" si="4"/>
        <v>0</v>
      </c>
      <c r="Q22" s="56"/>
    </row>
    <row r="23" spans="1:17" s="32" customFormat="1" ht="330" customHeight="1" hidden="1" outlineLevel="4">
      <c r="A23" s="24" t="s">
        <v>33</v>
      </c>
      <c r="B23" s="48"/>
      <c r="C23" s="49" t="s">
        <v>34</v>
      </c>
      <c r="D23" s="144" t="s">
        <v>33</v>
      </c>
      <c r="E23" s="51"/>
      <c r="F23" s="51"/>
      <c r="G23" s="52">
        <f t="shared" si="1"/>
        <v>0</v>
      </c>
      <c r="H23" s="53" t="e">
        <f t="shared" si="2"/>
        <v>#DIV/0!</v>
      </c>
      <c r="I23" s="51">
        <v>750300</v>
      </c>
      <c r="J23" s="51"/>
      <c r="K23" s="51"/>
      <c r="L23" s="51"/>
      <c r="M23" s="54" t="e">
        <f t="shared" si="3"/>
        <v>#DIV/0!</v>
      </c>
      <c r="N23" s="51"/>
      <c r="O23" s="54">
        <f t="shared" si="0"/>
        <v>0</v>
      </c>
      <c r="P23" s="55">
        <f t="shared" si="4"/>
        <v>0</v>
      </c>
      <c r="Q23" s="56"/>
    </row>
    <row r="24" spans="1:17" s="32" customFormat="1" ht="330" customHeight="1" hidden="1" outlineLevel="5">
      <c r="A24" s="24" t="s">
        <v>33</v>
      </c>
      <c r="B24" s="48"/>
      <c r="C24" s="49" t="s">
        <v>35</v>
      </c>
      <c r="D24" s="144" t="s">
        <v>33</v>
      </c>
      <c r="E24" s="51"/>
      <c r="F24" s="51"/>
      <c r="G24" s="52">
        <f t="shared" si="1"/>
        <v>0</v>
      </c>
      <c r="H24" s="53" t="e">
        <f t="shared" si="2"/>
        <v>#DIV/0!</v>
      </c>
      <c r="I24" s="51">
        <v>750300</v>
      </c>
      <c r="J24" s="51"/>
      <c r="K24" s="51"/>
      <c r="L24" s="51"/>
      <c r="M24" s="54" t="e">
        <f t="shared" si="3"/>
        <v>#DIV/0!</v>
      </c>
      <c r="N24" s="51"/>
      <c r="O24" s="54">
        <f t="shared" si="0"/>
        <v>0</v>
      </c>
      <c r="P24" s="55">
        <f t="shared" si="4"/>
        <v>0</v>
      </c>
      <c r="Q24" s="56"/>
    </row>
    <row r="25" spans="1:17" s="32" customFormat="1" ht="330" customHeight="1" hidden="1" outlineLevel="5">
      <c r="A25" s="24" t="s">
        <v>36</v>
      </c>
      <c r="B25" s="48"/>
      <c r="C25" s="49" t="s">
        <v>35</v>
      </c>
      <c r="D25" s="144" t="s">
        <v>36</v>
      </c>
      <c r="E25" s="51"/>
      <c r="F25" s="51"/>
      <c r="G25" s="52">
        <f t="shared" si="1"/>
        <v>0</v>
      </c>
      <c r="H25" s="53" t="e">
        <f t="shared" si="2"/>
        <v>#DIV/0!</v>
      </c>
      <c r="I25" s="51">
        <v>0</v>
      </c>
      <c r="J25" s="51"/>
      <c r="K25" s="51"/>
      <c r="L25" s="51"/>
      <c r="M25" s="54" t="e">
        <f t="shared" si="3"/>
        <v>#DIV/0!</v>
      </c>
      <c r="N25" s="51"/>
      <c r="O25" s="54" t="e">
        <f t="shared" si="0"/>
        <v>#DIV/0!</v>
      </c>
      <c r="P25" s="55">
        <f t="shared" si="4"/>
        <v>0</v>
      </c>
      <c r="Q25" s="56"/>
    </row>
    <row r="26" spans="1:17" s="32" customFormat="1" ht="15.75" customHeight="1" hidden="1" outlineLevel="5">
      <c r="A26" s="24" t="s">
        <v>37</v>
      </c>
      <c r="B26" s="48"/>
      <c r="C26" s="49">
        <v>1.82101020200121E+19</v>
      </c>
      <c r="D26" s="144" t="s">
        <v>37</v>
      </c>
      <c r="E26" s="51"/>
      <c r="F26" s="51"/>
      <c r="G26" s="52">
        <f t="shared" si="1"/>
        <v>0</v>
      </c>
      <c r="H26" s="53" t="e">
        <f t="shared" si="2"/>
        <v>#DIV/0!</v>
      </c>
      <c r="I26" s="51">
        <v>0</v>
      </c>
      <c r="J26" s="51"/>
      <c r="K26" s="51"/>
      <c r="L26" s="51"/>
      <c r="M26" s="54" t="e">
        <f t="shared" si="3"/>
        <v>#DIV/0!</v>
      </c>
      <c r="N26" s="51"/>
      <c r="O26" s="54" t="e">
        <f t="shared" si="0"/>
        <v>#DIV/0!</v>
      </c>
      <c r="P26" s="55">
        <f t="shared" si="4"/>
        <v>0</v>
      </c>
      <c r="Q26" s="56"/>
    </row>
    <row r="27" spans="1:17" s="32" customFormat="1" ht="330" customHeight="1" hidden="1" outlineLevel="5">
      <c r="A27" s="24" t="s">
        <v>38</v>
      </c>
      <c r="B27" s="48"/>
      <c r="C27" s="49" t="s">
        <v>35</v>
      </c>
      <c r="D27" s="144" t="s">
        <v>38</v>
      </c>
      <c r="E27" s="51"/>
      <c r="F27" s="51"/>
      <c r="G27" s="52">
        <f t="shared" si="1"/>
        <v>0</v>
      </c>
      <c r="H27" s="53" t="e">
        <f t="shared" si="2"/>
        <v>#DIV/0!</v>
      </c>
      <c r="I27" s="51">
        <v>0</v>
      </c>
      <c r="J27" s="51"/>
      <c r="K27" s="51"/>
      <c r="L27" s="51"/>
      <c r="M27" s="54" t="e">
        <f t="shared" si="3"/>
        <v>#DIV/0!</v>
      </c>
      <c r="N27" s="51"/>
      <c r="O27" s="54" t="e">
        <f t="shared" si="0"/>
        <v>#DIV/0!</v>
      </c>
      <c r="P27" s="55">
        <f t="shared" si="4"/>
        <v>0</v>
      </c>
      <c r="Q27" s="56"/>
    </row>
    <row r="28" spans="1:17" s="32" customFormat="1" ht="15.75" customHeight="1" hidden="1" outlineLevel="3">
      <c r="A28" s="24" t="s">
        <v>39</v>
      </c>
      <c r="B28" s="48"/>
      <c r="C28" s="49" t="s">
        <v>23</v>
      </c>
      <c r="D28" s="144" t="s">
        <v>39</v>
      </c>
      <c r="E28" s="51"/>
      <c r="F28" s="51"/>
      <c r="G28" s="52">
        <f t="shared" si="1"/>
        <v>0</v>
      </c>
      <c r="H28" s="53" t="e">
        <f t="shared" si="2"/>
        <v>#DIV/0!</v>
      </c>
      <c r="I28" s="51">
        <v>450200</v>
      </c>
      <c r="J28" s="51"/>
      <c r="K28" s="51"/>
      <c r="L28" s="51"/>
      <c r="M28" s="54" t="e">
        <f t="shared" si="3"/>
        <v>#DIV/0!</v>
      </c>
      <c r="N28" s="51"/>
      <c r="O28" s="54">
        <f t="shared" si="0"/>
        <v>0</v>
      </c>
      <c r="P28" s="55">
        <f t="shared" si="4"/>
        <v>0</v>
      </c>
      <c r="Q28" s="56"/>
    </row>
    <row r="29" spans="1:17" s="32" customFormat="1" ht="120" customHeight="1" hidden="1" outlineLevel="4">
      <c r="A29" s="24" t="s">
        <v>40</v>
      </c>
      <c r="B29" s="48"/>
      <c r="C29" s="49" t="s">
        <v>41</v>
      </c>
      <c r="D29" s="144" t="s">
        <v>40</v>
      </c>
      <c r="E29" s="51"/>
      <c r="F29" s="51"/>
      <c r="G29" s="52">
        <f t="shared" si="1"/>
        <v>0</v>
      </c>
      <c r="H29" s="53" t="e">
        <f t="shared" si="2"/>
        <v>#DIV/0!</v>
      </c>
      <c r="I29" s="51">
        <v>450200</v>
      </c>
      <c r="J29" s="51"/>
      <c r="K29" s="51"/>
      <c r="L29" s="51"/>
      <c r="M29" s="54" t="e">
        <f t="shared" si="3"/>
        <v>#DIV/0!</v>
      </c>
      <c r="N29" s="51"/>
      <c r="O29" s="54">
        <f t="shared" si="0"/>
        <v>0</v>
      </c>
      <c r="P29" s="55">
        <f t="shared" si="4"/>
        <v>0</v>
      </c>
      <c r="Q29" s="56"/>
    </row>
    <row r="30" spans="1:17" s="32" customFormat="1" ht="120" customHeight="1" hidden="1" outlineLevel="5">
      <c r="A30" s="24" t="s">
        <v>40</v>
      </c>
      <c r="B30" s="48"/>
      <c r="C30" s="49" t="s">
        <v>42</v>
      </c>
      <c r="D30" s="144" t="s">
        <v>40</v>
      </c>
      <c r="E30" s="51"/>
      <c r="F30" s="51"/>
      <c r="G30" s="52">
        <f t="shared" si="1"/>
        <v>0</v>
      </c>
      <c r="H30" s="53" t="e">
        <f t="shared" si="2"/>
        <v>#DIV/0!</v>
      </c>
      <c r="I30" s="51">
        <v>450200</v>
      </c>
      <c r="J30" s="51"/>
      <c r="K30" s="51"/>
      <c r="L30" s="51"/>
      <c r="M30" s="54" t="e">
        <f t="shared" si="3"/>
        <v>#DIV/0!</v>
      </c>
      <c r="N30" s="51"/>
      <c r="O30" s="54">
        <f t="shared" si="0"/>
        <v>0</v>
      </c>
      <c r="P30" s="55">
        <f t="shared" si="4"/>
        <v>0</v>
      </c>
      <c r="Q30" s="56"/>
    </row>
    <row r="31" spans="1:17" s="32" customFormat="1" ht="120" customHeight="1" hidden="1" outlineLevel="5">
      <c r="A31" s="24" t="s">
        <v>43</v>
      </c>
      <c r="B31" s="48"/>
      <c r="C31" s="49" t="s">
        <v>44</v>
      </c>
      <c r="D31" s="144" t="s">
        <v>43</v>
      </c>
      <c r="E31" s="51"/>
      <c r="F31" s="51"/>
      <c r="G31" s="52">
        <f t="shared" si="1"/>
        <v>0</v>
      </c>
      <c r="H31" s="53" t="e">
        <f t="shared" si="2"/>
        <v>#DIV/0!</v>
      </c>
      <c r="I31" s="51">
        <v>0</v>
      </c>
      <c r="J31" s="51"/>
      <c r="K31" s="51"/>
      <c r="L31" s="51"/>
      <c r="M31" s="54" t="e">
        <f t="shared" si="3"/>
        <v>#DIV/0!</v>
      </c>
      <c r="N31" s="51"/>
      <c r="O31" s="54" t="e">
        <f t="shared" si="0"/>
        <v>#DIV/0!</v>
      </c>
      <c r="P31" s="55">
        <f t="shared" si="4"/>
        <v>0</v>
      </c>
      <c r="Q31" s="56"/>
    </row>
    <row r="32" spans="1:17" s="32" customFormat="1" ht="15.75" customHeight="1" hidden="1" outlineLevel="5">
      <c r="A32" s="24" t="s">
        <v>45</v>
      </c>
      <c r="B32" s="48"/>
      <c r="C32" s="49">
        <v>1.82101020300121E+19</v>
      </c>
      <c r="D32" s="144" t="s">
        <v>45</v>
      </c>
      <c r="E32" s="51"/>
      <c r="F32" s="51"/>
      <c r="G32" s="52">
        <f t="shared" si="1"/>
        <v>0</v>
      </c>
      <c r="H32" s="53" t="e">
        <f t="shared" si="2"/>
        <v>#DIV/0!</v>
      </c>
      <c r="I32" s="51">
        <v>0</v>
      </c>
      <c r="J32" s="51"/>
      <c r="K32" s="51"/>
      <c r="L32" s="51"/>
      <c r="M32" s="54" t="e">
        <f t="shared" si="3"/>
        <v>#DIV/0!</v>
      </c>
      <c r="N32" s="51"/>
      <c r="O32" s="54" t="e">
        <f t="shared" si="0"/>
        <v>#DIV/0!</v>
      </c>
      <c r="P32" s="55">
        <f t="shared" si="4"/>
        <v>0</v>
      </c>
      <c r="Q32" s="56"/>
    </row>
    <row r="33" spans="1:17" s="32" customFormat="1" ht="120" customHeight="1" hidden="1" outlineLevel="5">
      <c r="A33" s="24" t="s">
        <v>46</v>
      </c>
      <c r="B33" s="48"/>
      <c r="C33" s="49" t="s">
        <v>44</v>
      </c>
      <c r="D33" s="144" t="s">
        <v>46</v>
      </c>
      <c r="E33" s="51"/>
      <c r="F33" s="51"/>
      <c r="G33" s="52">
        <f t="shared" si="1"/>
        <v>0</v>
      </c>
      <c r="H33" s="53" t="e">
        <f t="shared" si="2"/>
        <v>#DIV/0!</v>
      </c>
      <c r="I33" s="51">
        <v>0</v>
      </c>
      <c r="J33" s="51"/>
      <c r="K33" s="51"/>
      <c r="L33" s="51"/>
      <c r="M33" s="54" t="e">
        <f t="shared" si="3"/>
        <v>#DIV/0!</v>
      </c>
      <c r="N33" s="51"/>
      <c r="O33" s="54" t="e">
        <f t="shared" si="0"/>
        <v>#DIV/0!</v>
      </c>
      <c r="P33" s="55">
        <f t="shared" si="4"/>
        <v>0</v>
      </c>
      <c r="Q33" s="56"/>
    </row>
    <row r="34" spans="1:17" s="32" customFormat="1" ht="120" customHeight="1" hidden="1" outlineLevel="5">
      <c r="A34" s="24" t="s">
        <v>47</v>
      </c>
      <c r="B34" s="48"/>
      <c r="C34" s="49" t="s">
        <v>44</v>
      </c>
      <c r="D34" s="144" t="s">
        <v>47</v>
      </c>
      <c r="E34" s="51"/>
      <c r="F34" s="51"/>
      <c r="G34" s="52">
        <f t="shared" si="1"/>
        <v>0</v>
      </c>
      <c r="H34" s="53" t="e">
        <f t="shared" si="2"/>
        <v>#DIV/0!</v>
      </c>
      <c r="I34" s="51">
        <v>0</v>
      </c>
      <c r="J34" s="51"/>
      <c r="K34" s="51"/>
      <c r="L34" s="51"/>
      <c r="M34" s="54" t="e">
        <f t="shared" si="3"/>
        <v>#DIV/0!</v>
      </c>
      <c r="N34" s="51"/>
      <c r="O34" s="54" t="e">
        <f t="shared" si="0"/>
        <v>#DIV/0!</v>
      </c>
      <c r="P34" s="55">
        <f t="shared" si="4"/>
        <v>0</v>
      </c>
      <c r="Q34" s="56"/>
    </row>
    <row r="35" spans="1:17" s="32" customFormat="1" ht="15.75" customHeight="1" hidden="1" outlineLevel="3">
      <c r="A35" s="24" t="s">
        <v>48</v>
      </c>
      <c r="B35" s="48"/>
      <c r="C35" s="49" t="s">
        <v>23</v>
      </c>
      <c r="D35" s="144" t="s">
        <v>48</v>
      </c>
      <c r="E35" s="51"/>
      <c r="F35" s="51"/>
      <c r="G35" s="52">
        <f t="shared" si="1"/>
        <v>0</v>
      </c>
      <c r="H35" s="53" t="e">
        <f t="shared" si="2"/>
        <v>#DIV/0!</v>
      </c>
      <c r="I35" s="51">
        <v>300100</v>
      </c>
      <c r="J35" s="51"/>
      <c r="K35" s="51"/>
      <c r="L35" s="51"/>
      <c r="M35" s="54" t="e">
        <f t="shared" si="3"/>
        <v>#DIV/0!</v>
      </c>
      <c r="N35" s="51"/>
      <c r="O35" s="54">
        <f t="shared" si="0"/>
        <v>0</v>
      </c>
      <c r="P35" s="55">
        <f t="shared" si="4"/>
        <v>0</v>
      </c>
      <c r="Q35" s="56"/>
    </row>
    <row r="36" spans="1:17" s="32" customFormat="1" ht="270" customHeight="1" hidden="1" outlineLevel="4">
      <c r="A36" s="24" t="s">
        <v>49</v>
      </c>
      <c r="B36" s="48"/>
      <c r="C36" s="49" t="s">
        <v>50</v>
      </c>
      <c r="D36" s="144" t="s">
        <v>49</v>
      </c>
      <c r="E36" s="51"/>
      <c r="F36" s="51"/>
      <c r="G36" s="52">
        <f t="shared" si="1"/>
        <v>0</v>
      </c>
      <c r="H36" s="53" t="e">
        <f t="shared" si="2"/>
        <v>#DIV/0!</v>
      </c>
      <c r="I36" s="51">
        <v>300100</v>
      </c>
      <c r="J36" s="51"/>
      <c r="K36" s="51"/>
      <c r="L36" s="51"/>
      <c r="M36" s="54" t="e">
        <f t="shared" si="3"/>
        <v>#DIV/0!</v>
      </c>
      <c r="N36" s="51"/>
      <c r="O36" s="54">
        <f t="shared" si="0"/>
        <v>0</v>
      </c>
      <c r="P36" s="55">
        <f t="shared" si="4"/>
        <v>0</v>
      </c>
      <c r="Q36" s="56"/>
    </row>
    <row r="37" spans="1:17" s="32" customFormat="1" ht="270" customHeight="1" hidden="1" outlineLevel="5">
      <c r="A37" s="24" t="s">
        <v>49</v>
      </c>
      <c r="B37" s="48"/>
      <c r="C37" s="49" t="s">
        <v>51</v>
      </c>
      <c r="D37" s="144" t="s">
        <v>49</v>
      </c>
      <c r="E37" s="51"/>
      <c r="F37" s="51"/>
      <c r="G37" s="52">
        <f t="shared" si="1"/>
        <v>0</v>
      </c>
      <c r="H37" s="53" t="e">
        <f t="shared" si="2"/>
        <v>#DIV/0!</v>
      </c>
      <c r="I37" s="51">
        <v>300100</v>
      </c>
      <c r="J37" s="51"/>
      <c r="K37" s="51"/>
      <c r="L37" s="51"/>
      <c r="M37" s="54" t="e">
        <f t="shared" si="3"/>
        <v>#DIV/0!</v>
      </c>
      <c r="N37" s="51"/>
      <c r="O37" s="54">
        <f t="shared" si="0"/>
        <v>0</v>
      </c>
      <c r="P37" s="55">
        <f t="shared" si="4"/>
        <v>0</v>
      </c>
      <c r="Q37" s="56"/>
    </row>
    <row r="38" spans="1:17" s="32" customFormat="1" ht="409.5" customHeight="1" hidden="1" outlineLevel="5">
      <c r="A38" s="24" t="s">
        <v>52</v>
      </c>
      <c r="B38" s="48"/>
      <c r="C38" s="49" t="s">
        <v>53</v>
      </c>
      <c r="D38" s="144" t="s">
        <v>52</v>
      </c>
      <c r="E38" s="51">
        <v>8650982.19</v>
      </c>
      <c r="F38" s="51"/>
      <c r="G38" s="52">
        <f t="shared" si="1"/>
        <v>-8650982.19</v>
      </c>
      <c r="H38" s="53">
        <f t="shared" si="2"/>
        <v>0</v>
      </c>
      <c r="I38" s="51">
        <v>0</v>
      </c>
      <c r="J38" s="51"/>
      <c r="K38" s="51"/>
      <c r="L38" s="51"/>
      <c r="M38" s="54">
        <f t="shared" si="3"/>
        <v>0</v>
      </c>
      <c r="N38" s="51"/>
      <c r="O38" s="54" t="e">
        <f t="shared" si="0"/>
        <v>#DIV/0!</v>
      </c>
      <c r="P38" s="55">
        <f t="shared" si="4"/>
        <v>0</v>
      </c>
      <c r="Q38" s="56"/>
    </row>
    <row r="39" spans="1:17" s="32" customFormat="1" ht="57.75" customHeight="1" outlineLevel="2" collapsed="1">
      <c r="A39" s="24" t="s">
        <v>54</v>
      </c>
      <c r="B39" s="48" t="s">
        <v>55</v>
      </c>
      <c r="C39" s="49" t="s">
        <v>56</v>
      </c>
      <c r="D39" s="144" t="s">
        <v>54</v>
      </c>
      <c r="E39" s="51">
        <v>10254357.32</v>
      </c>
      <c r="F39" s="51">
        <v>2291811.3</v>
      </c>
      <c r="G39" s="52">
        <f t="shared" si="1"/>
        <v>-7962546.0200000005</v>
      </c>
      <c r="H39" s="53">
        <f t="shared" si="2"/>
        <v>0.22349633706737262</v>
      </c>
      <c r="I39" s="51">
        <v>9197170</v>
      </c>
      <c r="J39" s="51">
        <v>676056.9</v>
      </c>
      <c r="K39" s="51">
        <f>1707383.29+765348.9</f>
        <v>2472732.19</v>
      </c>
      <c r="L39" s="28">
        <f>K39-J39</f>
        <v>1796675.29</v>
      </c>
      <c r="M39" s="54">
        <f t="shared" si="3"/>
        <v>-1.155053920806099</v>
      </c>
      <c r="N39" s="51">
        <f>K39-I39</f>
        <v>-6724437.8100000005</v>
      </c>
      <c r="O39" s="54">
        <f t="shared" si="0"/>
        <v>0.26885794108405087</v>
      </c>
      <c r="P39" s="55">
        <f t="shared" si="4"/>
        <v>180920.89000000013</v>
      </c>
      <c r="Q39" s="149" t="s">
        <v>267</v>
      </c>
    </row>
    <row r="40" spans="1:17" s="32" customFormat="1" ht="58.5" customHeight="1" outlineLevel="1">
      <c r="A40" s="24" t="s">
        <v>57</v>
      </c>
      <c r="B40" s="48" t="s">
        <v>58</v>
      </c>
      <c r="C40" s="49" t="s">
        <v>59</v>
      </c>
      <c r="D40" s="144" t="s">
        <v>57</v>
      </c>
      <c r="E40" s="58">
        <f>E41+E42+E52+E56</f>
        <v>45903932.26</v>
      </c>
      <c r="F40" s="51">
        <f>F41+F42+F52+F56</f>
        <v>9953022.76</v>
      </c>
      <c r="G40" s="52">
        <f t="shared" si="1"/>
        <v>-35950909.5</v>
      </c>
      <c r="H40" s="53">
        <f t="shared" si="2"/>
        <v>0.21682287921710175</v>
      </c>
      <c r="I40" s="51">
        <f>I41+I42+I52+I56</f>
        <v>44278800</v>
      </c>
      <c r="J40" s="51">
        <f>J41+J42+J52+J56</f>
        <v>1291804</v>
      </c>
      <c r="K40" s="51">
        <f>K41+K42+K52+K56</f>
        <v>3791266.1399999997</v>
      </c>
      <c r="L40" s="28">
        <f>K40-J40</f>
        <v>2499462.1399999997</v>
      </c>
      <c r="M40" s="54">
        <f t="shared" si="3"/>
        <v>-1.2316461701754722</v>
      </c>
      <c r="N40" s="51">
        <f>N41+N42+N52+N56</f>
        <v>-40487533.86</v>
      </c>
      <c r="O40" s="54">
        <f t="shared" si="0"/>
        <v>0.08562260359359332</v>
      </c>
      <c r="P40" s="55">
        <f t="shared" si="4"/>
        <v>-6161756.62</v>
      </c>
      <c r="Q40" s="149" t="s">
        <v>267</v>
      </c>
    </row>
    <row r="41" spans="1:17" s="32" customFormat="1" ht="41.25" customHeight="1" outlineLevel="1">
      <c r="A41" s="24"/>
      <c r="B41" s="48" t="s">
        <v>60</v>
      </c>
      <c r="C41" s="59" t="s">
        <v>61</v>
      </c>
      <c r="D41" s="60" t="s">
        <v>62</v>
      </c>
      <c r="E41" s="61">
        <v>33191065.25</v>
      </c>
      <c r="F41" s="61">
        <v>5718691.54</v>
      </c>
      <c r="G41" s="62">
        <f>F41-E41</f>
        <v>-27472373.71</v>
      </c>
      <c r="H41" s="63"/>
      <c r="I41" s="61">
        <v>31715800</v>
      </c>
      <c r="J41" s="61">
        <v>728906</v>
      </c>
      <c r="K41" s="61">
        <f>984197.05+4398654.88+106355.22</f>
        <v>5489207.149999999</v>
      </c>
      <c r="L41" s="61">
        <f>K41-J41</f>
        <v>4760301.149999999</v>
      </c>
      <c r="M41" s="63">
        <f t="shared" si="3"/>
        <v>-1.1544615814706751</v>
      </c>
      <c r="N41" s="61">
        <f>K41-I41</f>
        <v>-26226592.85</v>
      </c>
      <c r="O41" s="63">
        <f t="shared" si="0"/>
        <v>0.17307484439932144</v>
      </c>
      <c r="P41" s="61">
        <f>K41-F41</f>
        <v>-229484.3900000006</v>
      </c>
      <c r="Q41" s="57"/>
    </row>
    <row r="42" spans="1:17" ht="28.5" outlineLevel="2">
      <c r="A42" s="64" t="s">
        <v>63</v>
      </c>
      <c r="B42" s="65" t="s">
        <v>64</v>
      </c>
      <c r="C42" s="59" t="s">
        <v>65</v>
      </c>
      <c r="D42" s="60" t="s">
        <v>63</v>
      </c>
      <c r="E42" s="61">
        <v>108221.73</v>
      </c>
      <c r="F42" s="61">
        <v>76300.93</v>
      </c>
      <c r="G42" s="62">
        <f>F42-E42</f>
        <v>-31920.800000000003</v>
      </c>
      <c r="H42" s="63">
        <f>F42/E42</f>
        <v>0.7050426009637806</v>
      </c>
      <c r="I42" s="61"/>
      <c r="J42" s="61"/>
      <c r="K42" s="61">
        <f>-244457.08+364.52+125.04</f>
        <v>-243967.52</v>
      </c>
      <c r="L42" s="61">
        <f aca="true" t="shared" si="5" ref="L42:L56">K42-J42</f>
        <v>-243967.52</v>
      </c>
      <c r="M42" s="63">
        <f t="shared" si="3"/>
        <v>0</v>
      </c>
      <c r="N42" s="61">
        <f>K42-I42</f>
        <v>-243967.52</v>
      </c>
      <c r="O42" s="63"/>
      <c r="P42" s="61">
        <f>K42-F42</f>
        <v>-320268.44999999995</v>
      </c>
      <c r="Q42" s="66" t="s">
        <v>263</v>
      </c>
    </row>
    <row r="43" spans="1:17" ht="15" customHeight="1" hidden="1" outlineLevel="3">
      <c r="A43" s="64" t="s">
        <v>66</v>
      </c>
      <c r="B43" s="65"/>
      <c r="C43" s="59" t="s">
        <v>23</v>
      </c>
      <c r="D43" s="60" t="s">
        <v>66</v>
      </c>
      <c r="E43" s="61"/>
      <c r="F43" s="61"/>
      <c r="G43" s="62">
        <f aca="true" t="shared" si="6" ref="G43:G56">F43-E43</f>
        <v>0</v>
      </c>
      <c r="H43" s="63" t="e">
        <f aca="true" t="shared" si="7" ref="H43:H56">F43/E43</f>
        <v>#DIV/0!</v>
      </c>
      <c r="I43" s="61">
        <v>57591300</v>
      </c>
      <c r="J43" s="61"/>
      <c r="K43" s="61"/>
      <c r="L43" s="61">
        <f t="shared" si="5"/>
        <v>0</v>
      </c>
      <c r="M43" s="63" t="e">
        <f t="shared" si="3"/>
        <v>#DIV/0!</v>
      </c>
      <c r="N43" s="61">
        <f aca="true" t="shared" si="8" ref="N43:N56">K43-I43</f>
        <v>-57591300</v>
      </c>
      <c r="O43" s="63">
        <f t="shared" si="0"/>
        <v>0</v>
      </c>
      <c r="P43" s="61">
        <f aca="true" t="shared" si="9" ref="P43:P56">K43-F43</f>
        <v>0</v>
      </c>
      <c r="Q43" s="67"/>
    </row>
    <row r="44" spans="1:17" ht="57" customHeight="1" hidden="1" outlineLevel="4">
      <c r="A44" s="64" t="s">
        <v>67</v>
      </c>
      <c r="B44" s="65"/>
      <c r="C44" s="59" t="s">
        <v>68</v>
      </c>
      <c r="D44" s="60" t="s">
        <v>67</v>
      </c>
      <c r="E44" s="61"/>
      <c r="F44" s="61"/>
      <c r="G44" s="62">
        <f t="shared" si="6"/>
        <v>0</v>
      </c>
      <c r="H44" s="63" t="e">
        <f t="shared" si="7"/>
        <v>#DIV/0!</v>
      </c>
      <c r="I44" s="61">
        <v>57591300</v>
      </c>
      <c r="J44" s="61"/>
      <c r="K44" s="61"/>
      <c r="L44" s="61">
        <f t="shared" si="5"/>
        <v>0</v>
      </c>
      <c r="M44" s="63" t="e">
        <f t="shared" si="3"/>
        <v>#DIV/0!</v>
      </c>
      <c r="N44" s="61">
        <f t="shared" si="8"/>
        <v>-57591300</v>
      </c>
      <c r="O44" s="63">
        <f t="shared" si="0"/>
        <v>0</v>
      </c>
      <c r="P44" s="61">
        <f t="shared" si="9"/>
        <v>0</v>
      </c>
      <c r="Q44" s="67"/>
    </row>
    <row r="45" spans="1:17" ht="57" customHeight="1" hidden="1" outlineLevel="5">
      <c r="A45" s="64" t="s">
        <v>67</v>
      </c>
      <c r="B45" s="65"/>
      <c r="C45" s="59" t="s">
        <v>69</v>
      </c>
      <c r="D45" s="60" t="s">
        <v>67</v>
      </c>
      <c r="E45" s="61"/>
      <c r="F45" s="61"/>
      <c r="G45" s="62">
        <f t="shared" si="6"/>
        <v>0</v>
      </c>
      <c r="H45" s="63" t="e">
        <f t="shared" si="7"/>
        <v>#DIV/0!</v>
      </c>
      <c r="I45" s="61">
        <v>57591300</v>
      </c>
      <c r="J45" s="61"/>
      <c r="K45" s="61"/>
      <c r="L45" s="61">
        <f t="shared" si="5"/>
        <v>0</v>
      </c>
      <c r="M45" s="63" t="e">
        <f t="shared" si="3"/>
        <v>#DIV/0!</v>
      </c>
      <c r="N45" s="61">
        <f t="shared" si="8"/>
        <v>-57591300</v>
      </c>
      <c r="O45" s="63">
        <f t="shared" si="0"/>
        <v>0</v>
      </c>
      <c r="P45" s="61">
        <f t="shared" si="9"/>
        <v>0</v>
      </c>
      <c r="Q45" s="67"/>
    </row>
    <row r="46" spans="1:17" ht="57" customHeight="1" hidden="1" outlineLevel="5">
      <c r="A46" s="64" t="s">
        <v>70</v>
      </c>
      <c r="B46" s="65"/>
      <c r="C46" s="59" t="s">
        <v>69</v>
      </c>
      <c r="D46" s="60" t="s">
        <v>70</v>
      </c>
      <c r="E46" s="61"/>
      <c r="F46" s="61"/>
      <c r="G46" s="62">
        <f t="shared" si="6"/>
        <v>0</v>
      </c>
      <c r="H46" s="63" t="e">
        <f t="shared" si="7"/>
        <v>#DIV/0!</v>
      </c>
      <c r="I46" s="61">
        <v>0</v>
      </c>
      <c r="J46" s="61"/>
      <c r="K46" s="61"/>
      <c r="L46" s="61">
        <f t="shared" si="5"/>
        <v>0</v>
      </c>
      <c r="M46" s="63" t="e">
        <f t="shared" si="3"/>
        <v>#DIV/0!</v>
      </c>
      <c r="N46" s="61">
        <f t="shared" si="8"/>
        <v>0</v>
      </c>
      <c r="O46" s="63" t="e">
        <f t="shared" si="0"/>
        <v>#DIV/0!</v>
      </c>
      <c r="P46" s="61">
        <f t="shared" si="9"/>
        <v>0</v>
      </c>
      <c r="Q46" s="67"/>
    </row>
    <row r="47" spans="1:17" ht="57" customHeight="1" hidden="1" outlineLevel="5">
      <c r="A47" s="64" t="s">
        <v>71</v>
      </c>
      <c r="B47" s="65"/>
      <c r="C47" s="59" t="s">
        <v>69</v>
      </c>
      <c r="D47" s="60" t="s">
        <v>71</v>
      </c>
      <c r="E47" s="61"/>
      <c r="F47" s="61"/>
      <c r="G47" s="62">
        <f t="shared" si="6"/>
        <v>0</v>
      </c>
      <c r="H47" s="63" t="e">
        <f t="shared" si="7"/>
        <v>#DIV/0!</v>
      </c>
      <c r="I47" s="61">
        <v>0</v>
      </c>
      <c r="J47" s="61"/>
      <c r="K47" s="61"/>
      <c r="L47" s="61">
        <f t="shared" si="5"/>
        <v>0</v>
      </c>
      <c r="M47" s="63" t="e">
        <f t="shared" si="3"/>
        <v>#DIV/0!</v>
      </c>
      <c r="N47" s="61">
        <f t="shared" si="8"/>
        <v>0</v>
      </c>
      <c r="O47" s="63" t="e">
        <f t="shared" si="0"/>
        <v>#DIV/0!</v>
      </c>
      <c r="P47" s="61">
        <f t="shared" si="9"/>
        <v>0</v>
      </c>
      <c r="Q47" s="67"/>
    </row>
    <row r="48" spans="1:17" ht="57" customHeight="1" hidden="1" outlineLevel="5">
      <c r="A48" s="64" t="s">
        <v>72</v>
      </c>
      <c r="B48" s="65"/>
      <c r="C48" s="59" t="s">
        <v>69</v>
      </c>
      <c r="D48" s="60" t="s">
        <v>72</v>
      </c>
      <c r="E48" s="61"/>
      <c r="F48" s="61"/>
      <c r="G48" s="62">
        <f t="shared" si="6"/>
        <v>0</v>
      </c>
      <c r="H48" s="63" t="e">
        <f t="shared" si="7"/>
        <v>#DIV/0!</v>
      </c>
      <c r="I48" s="61">
        <v>0</v>
      </c>
      <c r="J48" s="61"/>
      <c r="K48" s="61"/>
      <c r="L48" s="61">
        <f t="shared" si="5"/>
        <v>0</v>
      </c>
      <c r="M48" s="63" t="e">
        <f t="shared" si="3"/>
        <v>#DIV/0!</v>
      </c>
      <c r="N48" s="61">
        <f t="shared" si="8"/>
        <v>0</v>
      </c>
      <c r="O48" s="63" t="e">
        <f t="shared" si="0"/>
        <v>#DIV/0!</v>
      </c>
      <c r="P48" s="61">
        <f t="shared" si="9"/>
        <v>0</v>
      </c>
      <c r="Q48" s="67"/>
    </row>
    <row r="49" spans="1:17" ht="15" customHeight="1" hidden="1" outlineLevel="3">
      <c r="A49" s="64" t="s">
        <v>73</v>
      </c>
      <c r="B49" s="65"/>
      <c r="C49" s="59" t="s">
        <v>23</v>
      </c>
      <c r="D49" s="60" t="s">
        <v>73</v>
      </c>
      <c r="E49" s="61"/>
      <c r="F49" s="61"/>
      <c r="G49" s="62">
        <f t="shared" si="6"/>
        <v>0</v>
      </c>
      <c r="H49" s="63" t="e">
        <f t="shared" si="7"/>
        <v>#DIV/0!</v>
      </c>
      <c r="I49" s="61">
        <v>0</v>
      </c>
      <c r="J49" s="61"/>
      <c r="K49" s="61"/>
      <c r="L49" s="61">
        <f t="shared" si="5"/>
        <v>0</v>
      </c>
      <c r="M49" s="63" t="e">
        <f t="shared" si="3"/>
        <v>#DIV/0!</v>
      </c>
      <c r="N49" s="61">
        <f t="shared" si="8"/>
        <v>0</v>
      </c>
      <c r="O49" s="63" t="e">
        <f t="shared" si="0"/>
        <v>#DIV/0!</v>
      </c>
      <c r="P49" s="61">
        <f t="shared" si="9"/>
        <v>0</v>
      </c>
      <c r="Q49" s="67"/>
    </row>
    <row r="50" spans="1:17" ht="99.75" customHeight="1" hidden="1" outlineLevel="4">
      <c r="A50" s="64" t="s">
        <v>74</v>
      </c>
      <c r="B50" s="65"/>
      <c r="C50" s="59" t="s">
        <v>75</v>
      </c>
      <c r="D50" s="60" t="s">
        <v>74</v>
      </c>
      <c r="E50" s="61"/>
      <c r="F50" s="61"/>
      <c r="G50" s="62">
        <f t="shared" si="6"/>
        <v>0</v>
      </c>
      <c r="H50" s="63" t="e">
        <f t="shared" si="7"/>
        <v>#DIV/0!</v>
      </c>
      <c r="I50" s="61">
        <v>0</v>
      </c>
      <c r="J50" s="61"/>
      <c r="K50" s="61"/>
      <c r="L50" s="61">
        <f t="shared" si="5"/>
        <v>0</v>
      </c>
      <c r="M50" s="63" t="e">
        <f t="shared" si="3"/>
        <v>#DIV/0!</v>
      </c>
      <c r="N50" s="61">
        <f t="shared" si="8"/>
        <v>0</v>
      </c>
      <c r="O50" s="63" t="e">
        <f t="shared" si="0"/>
        <v>#DIV/0!</v>
      </c>
      <c r="P50" s="61">
        <f t="shared" si="9"/>
        <v>0</v>
      </c>
      <c r="Q50" s="67"/>
    </row>
    <row r="51" spans="1:17" ht="99.75" customHeight="1" hidden="1" outlineLevel="5">
      <c r="A51" s="64" t="s">
        <v>76</v>
      </c>
      <c r="B51" s="65"/>
      <c r="C51" s="59" t="s">
        <v>77</v>
      </c>
      <c r="D51" s="60" t="s">
        <v>76</v>
      </c>
      <c r="E51" s="61"/>
      <c r="F51" s="61"/>
      <c r="G51" s="62">
        <f t="shared" si="6"/>
        <v>0</v>
      </c>
      <c r="H51" s="63" t="e">
        <f t="shared" si="7"/>
        <v>#DIV/0!</v>
      </c>
      <c r="I51" s="61">
        <v>0</v>
      </c>
      <c r="J51" s="61"/>
      <c r="K51" s="61"/>
      <c r="L51" s="61">
        <f t="shared" si="5"/>
        <v>0</v>
      </c>
      <c r="M51" s="63" t="e">
        <f t="shared" si="3"/>
        <v>#DIV/0!</v>
      </c>
      <c r="N51" s="61">
        <f t="shared" si="8"/>
        <v>0</v>
      </c>
      <c r="O51" s="63" t="e">
        <f t="shared" si="0"/>
        <v>#DIV/0!</v>
      </c>
      <c r="P51" s="61">
        <f t="shared" si="9"/>
        <v>0</v>
      </c>
      <c r="Q51" s="67"/>
    </row>
    <row r="52" spans="1:17" ht="18.75" customHeight="1" outlineLevel="2" collapsed="1">
      <c r="A52" s="64" t="s">
        <v>78</v>
      </c>
      <c r="B52" s="65" t="s">
        <v>79</v>
      </c>
      <c r="C52" s="59" t="s">
        <v>80</v>
      </c>
      <c r="D52" s="60" t="s">
        <v>78</v>
      </c>
      <c r="E52" s="62">
        <v>63052.38</v>
      </c>
      <c r="F52" s="62">
        <v>-1.34</v>
      </c>
      <c r="G52" s="62">
        <f t="shared" si="6"/>
        <v>-63053.719999999994</v>
      </c>
      <c r="H52" s="63">
        <f t="shared" si="7"/>
        <v>-2.1252171607162175E-05</v>
      </c>
      <c r="I52" s="61">
        <v>63000</v>
      </c>
      <c r="J52" s="61"/>
      <c r="K52" s="62"/>
      <c r="L52" s="61">
        <f t="shared" si="5"/>
        <v>0</v>
      </c>
      <c r="M52" s="63">
        <f t="shared" si="3"/>
        <v>-0.9991480280624205</v>
      </c>
      <c r="N52" s="61">
        <f t="shared" si="8"/>
        <v>-63000</v>
      </c>
      <c r="O52" s="63">
        <f t="shared" si="0"/>
        <v>0</v>
      </c>
      <c r="P52" s="61">
        <f t="shared" si="9"/>
        <v>1.34</v>
      </c>
      <c r="Q52" s="67"/>
    </row>
    <row r="53" spans="1:17" ht="15" customHeight="1" hidden="1" outlineLevel="3">
      <c r="A53" s="64" t="s">
        <v>81</v>
      </c>
      <c r="B53" s="65"/>
      <c r="C53" s="59" t="s">
        <v>23</v>
      </c>
      <c r="D53" s="60" t="s">
        <v>81</v>
      </c>
      <c r="E53" s="61"/>
      <c r="F53" s="61"/>
      <c r="G53" s="62">
        <f t="shared" si="6"/>
        <v>0</v>
      </c>
      <c r="H53" s="63" t="e">
        <f t="shared" si="7"/>
        <v>#DIV/0!</v>
      </c>
      <c r="I53" s="61"/>
      <c r="J53" s="61"/>
      <c r="K53" s="61"/>
      <c r="L53" s="61">
        <f t="shared" si="5"/>
        <v>0</v>
      </c>
      <c r="M53" s="63" t="e">
        <f t="shared" si="3"/>
        <v>#DIV/0!</v>
      </c>
      <c r="N53" s="61">
        <f t="shared" si="8"/>
        <v>0</v>
      </c>
      <c r="O53" s="63" t="e">
        <f t="shared" si="0"/>
        <v>#DIV/0!</v>
      </c>
      <c r="P53" s="61">
        <f t="shared" si="9"/>
        <v>0</v>
      </c>
      <c r="Q53" s="68"/>
    </row>
    <row r="54" spans="1:17" ht="42.75" customHeight="1" hidden="1" outlineLevel="4">
      <c r="A54" s="64" t="s">
        <v>82</v>
      </c>
      <c r="B54" s="65"/>
      <c r="C54" s="59" t="s">
        <v>83</v>
      </c>
      <c r="D54" s="60" t="s">
        <v>82</v>
      </c>
      <c r="E54" s="61"/>
      <c r="F54" s="61"/>
      <c r="G54" s="62">
        <f t="shared" si="6"/>
        <v>0</v>
      </c>
      <c r="H54" s="63" t="e">
        <f t="shared" si="7"/>
        <v>#DIV/0!</v>
      </c>
      <c r="I54" s="61"/>
      <c r="J54" s="61"/>
      <c r="K54" s="61"/>
      <c r="L54" s="61">
        <f t="shared" si="5"/>
        <v>0</v>
      </c>
      <c r="M54" s="63" t="e">
        <f t="shared" si="3"/>
        <v>#DIV/0!</v>
      </c>
      <c r="N54" s="61">
        <f t="shared" si="8"/>
        <v>0</v>
      </c>
      <c r="O54" s="63" t="e">
        <f t="shared" si="0"/>
        <v>#DIV/0!</v>
      </c>
      <c r="P54" s="61">
        <f t="shared" si="9"/>
        <v>0</v>
      </c>
      <c r="Q54" s="68"/>
    </row>
    <row r="55" spans="1:17" ht="42.75" customHeight="1" hidden="1" outlineLevel="5">
      <c r="A55" s="64" t="s">
        <v>82</v>
      </c>
      <c r="B55" s="65"/>
      <c r="C55" s="59" t="s">
        <v>84</v>
      </c>
      <c r="D55" s="60" t="s">
        <v>82</v>
      </c>
      <c r="E55" s="61"/>
      <c r="F55" s="61"/>
      <c r="G55" s="62">
        <f t="shared" si="6"/>
        <v>0</v>
      </c>
      <c r="H55" s="63" t="e">
        <f t="shared" si="7"/>
        <v>#DIV/0!</v>
      </c>
      <c r="I55" s="61"/>
      <c r="J55" s="61"/>
      <c r="K55" s="61"/>
      <c r="L55" s="61">
        <f t="shared" si="5"/>
        <v>0</v>
      </c>
      <c r="M55" s="63" t="e">
        <f t="shared" si="3"/>
        <v>#DIV/0!</v>
      </c>
      <c r="N55" s="61">
        <f t="shared" si="8"/>
        <v>0</v>
      </c>
      <c r="O55" s="63" t="e">
        <f t="shared" si="0"/>
        <v>#DIV/0!</v>
      </c>
      <c r="P55" s="61">
        <f t="shared" si="9"/>
        <v>0</v>
      </c>
      <c r="Q55" s="68"/>
    </row>
    <row r="56" spans="1:17" ht="72" customHeight="1" outlineLevel="2" collapsed="1">
      <c r="A56" s="64" t="s">
        <v>85</v>
      </c>
      <c r="B56" s="65" t="s">
        <v>86</v>
      </c>
      <c r="C56" s="59" t="s">
        <v>87</v>
      </c>
      <c r="D56" s="60" t="s">
        <v>85</v>
      </c>
      <c r="E56" s="61">
        <v>12541592.9</v>
      </c>
      <c r="F56" s="61">
        <v>4158031.63</v>
      </c>
      <c r="G56" s="62">
        <f t="shared" si="6"/>
        <v>-8383561.2700000005</v>
      </c>
      <c r="H56" s="63">
        <f t="shared" si="7"/>
        <v>0.33153935573845644</v>
      </c>
      <c r="I56" s="61">
        <v>12500000</v>
      </c>
      <c r="J56" s="61">
        <v>562898</v>
      </c>
      <c r="K56" s="61">
        <f>-1527636.42+36215.9+37447.03</f>
        <v>-1453973.49</v>
      </c>
      <c r="L56" s="61">
        <f t="shared" si="5"/>
        <v>-2016871.49</v>
      </c>
      <c r="M56" s="63">
        <f t="shared" si="3"/>
        <v>-1.491013138381942</v>
      </c>
      <c r="N56" s="61">
        <f t="shared" si="8"/>
        <v>-13953973.49</v>
      </c>
      <c r="O56" s="63">
        <f t="shared" si="0"/>
        <v>-0.1163178792</v>
      </c>
      <c r="P56" s="61">
        <f t="shared" si="9"/>
        <v>-5612005.12</v>
      </c>
      <c r="Q56" s="66"/>
    </row>
    <row r="57" spans="1:17" ht="15" customHeight="1" hidden="1" outlineLevel="3">
      <c r="A57" s="64" t="s">
        <v>88</v>
      </c>
      <c r="B57" s="65"/>
      <c r="C57" s="59" t="s">
        <v>23</v>
      </c>
      <c r="D57" s="60" t="s">
        <v>88</v>
      </c>
      <c r="E57" s="61">
        <v>401120</v>
      </c>
      <c r="F57" s="61">
        <v>401120</v>
      </c>
      <c r="G57" s="62"/>
      <c r="H57" s="63" t="e">
        <f>E57/#REF!</f>
        <v>#REF!</v>
      </c>
      <c r="I57" s="61">
        <v>8300000</v>
      </c>
      <c r="J57" s="61"/>
      <c r="K57" s="61">
        <v>401120</v>
      </c>
      <c r="L57" s="61"/>
      <c r="M57" s="63" t="e">
        <f t="shared" si="3"/>
        <v>#DIV/0!</v>
      </c>
      <c r="N57" s="61"/>
      <c r="O57" s="63">
        <f t="shared" si="0"/>
        <v>0.04832771084337349</v>
      </c>
      <c r="P57" s="61" t="e">
        <f>E57-#REF!</f>
        <v>#REF!</v>
      </c>
      <c r="Q57" s="68"/>
    </row>
    <row r="58" spans="1:17" ht="85.5" customHeight="1" hidden="1" outlineLevel="4">
      <c r="A58" s="64" t="s">
        <v>89</v>
      </c>
      <c r="B58" s="65"/>
      <c r="C58" s="59" t="s">
        <v>90</v>
      </c>
      <c r="D58" s="60" t="s">
        <v>89</v>
      </c>
      <c r="E58" s="61">
        <v>0</v>
      </c>
      <c r="F58" s="61">
        <v>401120</v>
      </c>
      <c r="G58" s="62"/>
      <c r="H58" s="63" t="e">
        <f>E58/#REF!</f>
        <v>#REF!</v>
      </c>
      <c r="I58" s="61">
        <v>8300000</v>
      </c>
      <c r="J58" s="61"/>
      <c r="K58" s="61">
        <v>401120</v>
      </c>
      <c r="L58" s="61"/>
      <c r="M58" s="63" t="e">
        <f t="shared" si="3"/>
        <v>#DIV/0!</v>
      </c>
      <c r="N58" s="61"/>
      <c r="O58" s="63">
        <f t="shared" si="0"/>
        <v>0.04832771084337349</v>
      </c>
      <c r="P58" s="61" t="e">
        <f>E58-#REF!</f>
        <v>#REF!</v>
      </c>
      <c r="Q58" s="68"/>
    </row>
    <row r="59" spans="1:17" ht="99.75" customHeight="1" hidden="1" outlineLevel="5">
      <c r="A59" s="64" t="s">
        <v>89</v>
      </c>
      <c r="B59" s="65"/>
      <c r="C59" s="59" t="s">
        <v>91</v>
      </c>
      <c r="D59" s="60" t="s">
        <v>89</v>
      </c>
      <c r="E59" s="61">
        <v>401106.8</v>
      </c>
      <c r="F59" s="61">
        <v>0</v>
      </c>
      <c r="G59" s="62"/>
      <c r="H59" s="63" t="e">
        <f>E59/#REF!</f>
        <v>#REF!</v>
      </c>
      <c r="I59" s="61">
        <v>8300000</v>
      </c>
      <c r="J59" s="61"/>
      <c r="K59" s="61">
        <v>0</v>
      </c>
      <c r="L59" s="61"/>
      <c r="M59" s="63" t="e">
        <f t="shared" si="3"/>
        <v>#DIV/0!</v>
      </c>
      <c r="N59" s="61"/>
      <c r="O59" s="63">
        <f t="shared" si="0"/>
        <v>0</v>
      </c>
      <c r="P59" s="61" t="e">
        <f>E59-#REF!</f>
        <v>#REF!</v>
      </c>
      <c r="Q59" s="68"/>
    </row>
    <row r="60" spans="1:17" ht="99.75" customHeight="1" hidden="1" outlineLevel="5">
      <c r="A60" s="64" t="s">
        <v>92</v>
      </c>
      <c r="B60" s="65"/>
      <c r="C60" s="59" t="s">
        <v>91</v>
      </c>
      <c r="D60" s="60" t="s">
        <v>92</v>
      </c>
      <c r="E60" s="61">
        <v>13.2</v>
      </c>
      <c r="F60" s="61">
        <v>401106.8</v>
      </c>
      <c r="G60" s="62"/>
      <c r="H60" s="63" t="e">
        <f>E60/#REF!</f>
        <v>#REF!</v>
      </c>
      <c r="I60" s="61">
        <v>0</v>
      </c>
      <c r="J60" s="61"/>
      <c r="K60" s="61">
        <v>401106.8</v>
      </c>
      <c r="L60" s="61"/>
      <c r="M60" s="63" t="e">
        <f t="shared" si="3"/>
        <v>#DIV/0!</v>
      </c>
      <c r="N60" s="61"/>
      <c r="O60" s="63" t="e">
        <f t="shared" si="0"/>
        <v>#DIV/0!</v>
      </c>
      <c r="P60" s="61" t="e">
        <f>E60-#REF!</f>
        <v>#REF!</v>
      </c>
      <c r="Q60" s="68"/>
    </row>
    <row r="61" spans="1:17" ht="99.75" customHeight="1" hidden="1" outlineLevel="5">
      <c r="A61" s="64" t="s">
        <v>93</v>
      </c>
      <c r="B61" s="65"/>
      <c r="C61" s="59" t="s">
        <v>91</v>
      </c>
      <c r="D61" s="60" t="s">
        <v>93</v>
      </c>
      <c r="E61" s="51">
        <f>E62+E63+E64</f>
        <v>172244710.82</v>
      </c>
      <c r="F61" s="61">
        <v>13.2</v>
      </c>
      <c r="G61" s="62"/>
      <c r="H61" s="63" t="e">
        <f>E61/#REF!</f>
        <v>#REF!</v>
      </c>
      <c r="I61" s="61">
        <v>0</v>
      </c>
      <c r="J61" s="61"/>
      <c r="K61" s="61">
        <v>13.2</v>
      </c>
      <c r="L61" s="61"/>
      <c r="M61" s="63" t="e">
        <f t="shared" si="3"/>
        <v>#DIV/0!</v>
      </c>
      <c r="N61" s="61"/>
      <c r="O61" s="63" t="e">
        <f t="shared" si="0"/>
        <v>#DIV/0!</v>
      </c>
      <c r="P61" s="61" t="e">
        <f>E61-#REF!</f>
        <v>#REF!</v>
      </c>
      <c r="Q61" s="68"/>
    </row>
    <row r="62" spans="1:17" s="32" customFormat="1" ht="22.5" customHeight="1" outlineLevel="1" collapsed="1">
      <c r="A62" s="24" t="s">
        <v>94</v>
      </c>
      <c r="B62" s="48" t="s">
        <v>95</v>
      </c>
      <c r="C62" s="49" t="s">
        <v>96</v>
      </c>
      <c r="D62" s="50" t="s">
        <v>94</v>
      </c>
      <c r="E62" s="51">
        <f>E63+E64+E65</f>
        <v>95317580.9</v>
      </c>
      <c r="F62" s="51">
        <f>F63+F64+F65</f>
        <v>16310811.56</v>
      </c>
      <c r="G62" s="58">
        <f>F62-E62</f>
        <v>-79006769.34</v>
      </c>
      <c r="H62" s="54">
        <f aca="true" t="shared" si="10" ref="H62:H72">F62/E62</f>
        <v>0.17112070413444577</v>
      </c>
      <c r="I62" s="51">
        <f>I63+I64+I65</f>
        <v>78352187.63</v>
      </c>
      <c r="J62" s="51">
        <f>J63+J64+J65</f>
        <v>3543302</v>
      </c>
      <c r="K62" s="51">
        <f>K63+K64+K65</f>
        <v>7339575.51</v>
      </c>
      <c r="L62" s="51">
        <f>K62-J62</f>
        <v>3796273.51</v>
      </c>
      <c r="M62" s="54">
        <f t="shared" si="3"/>
        <v>-0.9917148655049662</v>
      </c>
      <c r="N62" s="51">
        <f>N63+N64+N65</f>
        <v>-71012612.11999999</v>
      </c>
      <c r="O62" s="54">
        <f t="shared" si="0"/>
        <v>0.09367416190929397</v>
      </c>
      <c r="P62" s="51">
        <f aca="true" t="shared" si="11" ref="P62:P72">K62-F62</f>
        <v>-8971236.05</v>
      </c>
      <c r="Q62" s="149" t="s">
        <v>267</v>
      </c>
    </row>
    <row r="63" spans="1:17" ht="28.5" outlineLevel="2">
      <c r="A63" s="64" t="s">
        <v>97</v>
      </c>
      <c r="B63" s="65" t="s">
        <v>98</v>
      </c>
      <c r="C63" s="59" t="s">
        <v>99</v>
      </c>
      <c r="D63" s="60" t="s">
        <v>97</v>
      </c>
      <c r="E63" s="61">
        <v>14947482.35</v>
      </c>
      <c r="F63" s="61">
        <v>959457.4</v>
      </c>
      <c r="G63" s="62">
        <f>F63-E63</f>
        <v>-13988024.95</v>
      </c>
      <c r="H63" s="63">
        <f t="shared" si="10"/>
        <v>0.06418856216277787</v>
      </c>
      <c r="I63" s="61">
        <v>11900000</v>
      </c>
      <c r="J63" s="61">
        <v>80000</v>
      </c>
      <c r="K63" s="61">
        <f>624634.82+44776.18+4165.09</f>
        <v>673576.09</v>
      </c>
      <c r="L63" s="61">
        <f>K63-J63</f>
        <v>593576.09</v>
      </c>
      <c r="M63" s="63">
        <f t="shared" si="3"/>
        <v>-0.8507276790352022</v>
      </c>
      <c r="N63" s="61">
        <f>K63-I63</f>
        <v>-11226423.91</v>
      </c>
      <c r="O63" s="63">
        <f t="shared" si="0"/>
        <v>0.05660303277310924</v>
      </c>
      <c r="P63" s="61">
        <f t="shared" si="11"/>
        <v>-285881.31000000006</v>
      </c>
      <c r="Q63" s="66"/>
    </row>
    <row r="64" spans="1:17" ht="42" customHeight="1" outlineLevel="4">
      <c r="A64" s="64" t="s">
        <v>100</v>
      </c>
      <c r="B64" s="65" t="s">
        <v>101</v>
      </c>
      <c r="C64" s="59" t="s">
        <v>102</v>
      </c>
      <c r="D64" s="60" t="s">
        <v>100</v>
      </c>
      <c r="E64" s="61">
        <v>61979647.57</v>
      </c>
      <c r="F64" s="61">
        <v>14395508.28</v>
      </c>
      <c r="G64" s="62">
        <f>F64-E64</f>
        <v>-47584139.29</v>
      </c>
      <c r="H64" s="63">
        <f t="shared" si="10"/>
        <v>0.23226186085910974</v>
      </c>
      <c r="I64" s="61">
        <v>49452187.63</v>
      </c>
      <c r="J64" s="61">
        <v>3011857</v>
      </c>
      <c r="K64" s="61">
        <f>5661032.29+294567.48</f>
        <v>5955599.77</v>
      </c>
      <c r="L64" s="61">
        <f>K64-J64</f>
        <v>2943742.7699999996</v>
      </c>
      <c r="M64" s="63">
        <f t="shared" si="3"/>
        <v>-1.0392577940438357</v>
      </c>
      <c r="N64" s="61">
        <f>K64-I64</f>
        <v>-43496587.86</v>
      </c>
      <c r="O64" s="63">
        <f t="shared" si="0"/>
        <v>0.12043147240643112</v>
      </c>
      <c r="P64" s="61">
        <f t="shared" si="11"/>
        <v>-8439908.51</v>
      </c>
      <c r="Q64" s="66"/>
    </row>
    <row r="65" spans="1:17" ht="56.25" customHeight="1" outlineLevel="4">
      <c r="A65" s="64" t="s">
        <v>103</v>
      </c>
      <c r="B65" s="65" t="s">
        <v>104</v>
      </c>
      <c r="C65" s="59" t="s">
        <v>105</v>
      </c>
      <c r="D65" s="60" t="s">
        <v>103</v>
      </c>
      <c r="E65" s="61">
        <v>18390450.98</v>
      </c>
      <c r="F65" s="61">
        <v>955845.88</v>
      </c>
      <c r="G65" s="62">
        <f>F65-E65</f>
        <v>-17434605.1</v>
      </c>
      <c r="H65" s="63">
        <f t="shared" si="10"/>
        <v>0.051975119100640996</v>
      </c>
      <c r="I65" s="61">
        <v>17000000</v>
      </c>
      <c r="J65" s="61">
        <v>451445</v>
      </c>
      <c r="K65" s="61">
        <f>581084.1+123233.33+6082.22</f>
        <v>710399.6499999999</v>
      </c>
      <c r="L65" s="61">
        <f>K65-J65</f>
        <v>258954.6499999999</v>
      </c>
      <c r="M65" s="63">
        <f t="shared" si="3"/>
        <v>-0.9750722716398089</v>
      </c>
      <c r="N65" s="61">
        <f>K65-I65</f>
        <v>-16289600.35</v>
      </c>
      <c r="O65" s="63">
        <f t="shared" si="0"/>
        <v>0.04178821470588235</v>
      </c>
      <c r="P65" s="61">
        <f t="shared" si="11"/>
        <v>-245446.2300000001</v>
      </c>
      <c r="Q65" s="66"/>
    </row>
    <row r="66" spans="1:17" s="32" customFormat="1" ht="32.25" customHeight="1" outlineLevel="1">
      <c r="A66" s="24" t="s">
        <v>106</v>
      </c>
      <c r="B66" s="48" t="s">
        <v>107</v>
      </c>
      <c r="C66" s="49" t="s">
        <v>108</v>
      </c>
      <c r="D66" s="50" t="s">
        <v>106</v>
      </c>
      <c r="E66" s="51">
        <f>E67+E72</f>
        <v>10536108.33</v>
      </c>
      <c r="F66" s="51">
        <f>F67+F72</f>
        <v>2611584.14</v>
      </c>
      <c r="G66" s="58">
        <f>G67+G72</f>
        <v>-7924524.1899999995</v>
      </c>
      <c r="H66" s="54">
        <f t="shared" si="10"/>
        <v>0.24786990207417506</v>
      </c>
      <c r="I66" s="51">
        <f>I67+I72</f>
        <v>11535000</v>
      </c>
      <c r="J66" s="51">
        <f>J67+J72</f>
        <v>605206</v>
      </c>
      <c r="K66" s="51">
        <f>K67+K72</f>
        <v>2469275.2099999995</v>
      </c>
      <c r="L66" s="51">
        <f>K66-J66</f>
        <v>1864069.2099999995</v>
      </c>
      <c r="M66" s="54">
        <f t="shared" si="3"/>
        <v>-1.4556078981443554</v>
      </c>
      <c r="N66" s="51">
        <f>N67+N72</f>
        <v>-9065724.790000001</v>
      </c>
      <c r="O66" s="54">
        <f t="shared" si="0"/>
        <v>0.21406807195491975</v>
      </c>
      <c r="P66" s="51">
        <f t="shared" si="11"/>
        <v>-142308.93000000063</v>
      </c>
      <c r="Q66" s="56"/>
    </row>
    <row r="67" spans="1:17" ht="91.5" customHeight="1" outlineLevel="2">
      <c r="A67" s="64" t="s">
        <v>109</v>
      </c>
      <c r="B67" s="65" t="s">
        <v>110</v>
      </c>
      <c r="C67" s="59" t="s">
        <v>111</v>
      </c>
      <c r="D67" s="60" t="s">
        <v>109</v>
      </c>
      <c r="E67" s="61">
        <v>10431108.33</v>
      </c>
      <c r="F67" s="61">
        <v>2581584.14</v>
      </c>
      <c r="G67" s="62">
        <f aca="true" t="shared" si="12" ref="G67:G72">F67-E67</f>
        <v>-7849524.1899999995</v>
      </c>
      <c r="H67" s="63">
        <f t="shared" si="10"/>
        <v>0.24748895882667918</v>
      </c>
      <c r="I67" s="61">
        <v>11500000</v>
      </c>
      <c r="J67" s="61">
        <v>605206</v>
      </c>
      <c r="K67" s="61">
        <f>2329720.83+69249.82+35866.53+34438.03</f>
        <v>2469275.2099999995</v>
      </c>
      <c r="L67" s="61">
        <f>K67-J67</f>
        <v>1864069.2099999995</v>
      </c>
      <c r="M67" s="63">
        <f t="shared" si="3"/>
        <v>-1.4650569539807994</v>
      </c>
      <c r="N67" s="61">
        <f aca="true" t="shared" si="13" ref="N67:N72">K67-I67</f>
        <v>-9030724.790000001</v>
      </c>
      <c r="O67" s="63">
        <f t="shared" si="0"/>
        <v>0.21471958347826084</v>
      </c>
      <c r="P67" s="61">
        <f t="shared" si="11"/>
        <v>-112308.93000000063</v>
      </c>
      <c r="Q67" s="67"/>
    </row>
    <row r="68" spans="1:17" ht="15" customHeight="1" hidden="1" outlineLevel="3">
      <c r="A68" s="64" t="s">
        <v>112</v>
      </c>
      <c r="B68" s="65"/>
      <c r="C68" s="59" t="s">
        <v>23</v>
      </c>
      <c r="D68" s="60" t="s">
        <v>112</v>
      </c>
      <c r="E68" s="61"/>
      <c r="F68" s="61"/>
      <c r="G68" s="62">
        <f t="shared" si="12"/>
        <v>0</v>
      </c>
      <c r="H68" s="63" t="e">
        <f t="shared" si="10"/>
        <v>#DIV/0!</v>
      </c>
      <c r="I68" s="61"/>
      <c r="J68" s="61"/>
      <c r="K68" s="61"/>
      <c r="L68" s="61">
        <f>I68-G68</f>
        <v>0</v>
      </c>
      <c r="M68" s="63" t="e">
        <f t="shared" si="3"/>
        <v>#DIV/0!</v>
      </c>
      <c r="N68" s="61">
        <f t="shared" si="13"/>
        <v>0</v>
      </c>
      <c r="O68" s="63" t="e">
        <f t="shared" si="0"/>
        <v>#DIV/0!</v>
      </c>
      <c r="P68" s="61">
        <f t="shared" si="11"/>
        <v>0</v>
      </c>
      <c r="Q68" s="68"/>
    </row>
    <row r="69" spans="1:17" ht="114" customHeight="1" hidden="1" outlineLevel="4">
      <c r="A69" s="64" t="s">
        <v>113</v>
      </c>
      <c r="B69" s="65"/>
      <c r="C69" s="59" t="s">
        <v>114</v>
      </c>
      <c r="D69" s="60" t="s">
        <v>113</v>
      </c>
      <c r="E69" s="61"/>
      <c r="F69" s="61"/>
      <c r="G69" s="62">
        <f t="shared" si="12"/>
        <v>0</v>
      </c>
      <c r="H69" s="63" t="e">
        <f t="shared" si="10"/>
        <v>#DIV/0!</v>
      </c>
      <c r="I69" s="61"/>
      <c r="J69" s="61"/>
      <c r="K69" s="61"/>
      <c r="L69" s="61">
        <f>I69-G69</f>
        <v>0</v>
      </c>
      <c r="M69" s="63" t="e">
        <f t="shared" si="3"/>
        <v>#DIV/0!</v>
      </c>
      <c r="N69" s="61">
        <f t="shared" si="13"/>
        <v>0</v>
      </c>
      <c r="O69" s="63" t="e">
        <f t="shared" si="0"/>
        <v>#DIV/0!</v>
      </c>
      <c r="P69" s="61">
        <f t="shared" si="11"/>
        <v>0</v>
      </c>
      <c r="Q69" s="68"/>
    </row>
    <row r="70" spans="1:17" ht="128.25" customHeight="1" hidden="1" outlineLevel="5">
      <c r="A70" s="64" t="s">
        <v>113</v>
      </c>
      <c r="B70" s="65"/>
      <c r="C70" s="59" t="s">
        <v>115</v>
      </c>
      <c r="D70" s="60" t="s">
        <v>113</v>
      </c>
      <c r="E70" s="61"/>
      <c r="F70" s="61"/>
      <c r="G70" s="62">
        <f t="shared" si="12"/>
        <v>0</v>
      </c>
      <c r="H70" s="63" t="e">
        <f t="shared" si="10"/>
        <v>#DIV/0!</v>
      </c>
      <c r="I70" s="61"/>
      <c r="J70" s="61"/>
      <c r="K70" s="61"/>
      <c r="L70" s="61">
        <f>I70-G70</f>
        <v>0</v>
      </c>
      <c r="M70" s="63" t="e">
        <f t="shared" si="3"/>
        <v>#DIV/0!</v>
      </c>
      <c r="N70" s="61">
        <f t="shared" si="13"/>
        <v>0</v>
      </c>
      <c r="O70" s="63" t="e">
        <f t="shared" si="0"/>
        <v>#DIV/0!</v>
      </c>
      <c r="P70" s="61">
        <f t="shared" si="11"/>
        <v>0</v>
      </c>
      <c r="Q70" s="68"/>
    </row>
    <row r="71" spans="1:17" ht="171" customHeight="1" hidden="1" outlineLevel="5">
      <c r="A71" s="64" t="s">
        <v>116</v>
      </c>
      <c r="B71" s="65"/>
      <c r="C71" s="59" t="s">
        <v>117</v>
      </c>
      <c r="D71" s="60" t="s">
        <v>116</v>
      </c>
      <c r="E71" s="61"/>
      <c r="F71" s="61"/>
      <c r="G71" s="62">
        <f t="shared" si="12"/>
        <v>0</v>
      </c>
      <c r="H71" s="63" t="e">
        <f t="shared" si="10"/>
        <v>#DIV/0!</v>
      </c>
      <c r="I71" s="61"/>
      <c r="J71" s="61"/>
      <c r="K71" s="61"/>
      <c r="L71" s="61">
        <f>I71-G71</f>
        <v>0</v>
      </c>
      <c r="M71" s="63" t="e">
        <f t="shared" si="3"/>
        <v>#DIV/0!</v>
      </c>
      <c r="N71" s="61">
        <f t="shared" si="13"/>
        <v>0</v>
      </c>
      <c r="O71" s="63" t="e">
        <f t="shared" si="0"/>
        <v>#DIV/0!</v>
      </c>
      <c r="P71" s="61">
        <f t="shared" si="11"/>
        <v>0</v>
      </c>
      <c r="Q71" s="68"/>
    </row>
    <row r="72" spans="1:17" ht="78.75" customHeight="1" outlineLevel="2" collapsed="1">
      <c r="A72" s="64" t="s">
        <v>118</v>
      </c>
      <c r="B72" s="65" t="s">
        <v>119</v>
      </c>
      <c r="C72" s="59" t="s">
        <v>120</v>
      </c>
      <c r="D72" s="60" t="s">
        <v>118</v>
      </c>
      <c r="E72" s="62">
        <v>105000</v>
      </c>
      <c r="F72" s="62">
        <v>30000</v>
      </c>
      <c r="G72" s="62">
        <f t="shared" si="12"/>
        <v>-75000</v>
      </c>
      <c r="H72" s="63">
        <f t="shared" si="10"/>
        <v>0.2857142857142857</v>
      </c>
      <c r="I72" s="61">
        <v>35000</v>
      </c>
      <c r="J72" s="61"/>
      <c r="K72" s="62"/>
      <c r="L72" s="61">
        <f>K72-J72</f>
        <v>0</v>
      </c>
      <c r="M72" s="63">
        <f t="shared" si="3"/>
        <v>-0.4666666666666667</v>
      </c>
      <c r="N72" s="61">
        <f t="shared" si="13"/>
        <v>-35000</v>
      </c>
      <c r="O72" s="63">
        <f t="shared" si="0"/>
        <v>0</v>
      </c>
      <c r="P72" s="61">
        <f t="shared" si="11"/>
        <v>-30000</v>
      </c>
      <c r="Q72" s="66"/>
    </row>
    <row r="73" spans="1:17" ht="15" customHeight="1" hidden="1" outlineLevel="3">
      <c r="A73" s="64" t="s">
        <v>121</v>
      </c>
      <c r="B73" s="65"/>
      <c r="C73" s="59" t="s">
        <v>23</v>
      </c>
      <c r="D73" s="60" t="s">
        <v>121</v>
      </c>
      <c r="E73" s="61">
        <v>0</v>
      </c>
      <c r="F73" s="61">
        <v>0</v>
      </c>
      <c r="G73" s="62"/>
      <c r="H73" s="63" t="e">
        <f>E73/#REF!</f>
        <v>#REF!</v>
      </c>
      <c r="I73" s="61">
        <v>60000</v>
      </c>
      <c r="J73" s="61"/>
      <c r="K73" s="61">
        <v>0</v>
      </c>
      <c r="L73" s="61"/>
      <c r="M73" s="63" t="e">
        <f t="shared" si="3"/>
        <v>#DIV/0!</v>
      </c>
      <c r="N73" s="61"/>
      <c r="O73" s="63">
        <f t="shared" si="0"/>
        <v>0</v>
      </c>
      <c r="P73" s="61" t="e">
        <f>E73-#REF!</f>
        <v>#REF!</v>
      </c>
      <c r="Q73" s="68"/>
    </row>
    <row r="74" spans="1:17" ht="57" customHeight="1" hidden="1" outlineLevel="4">
      <c r="A74" s="64" t="s">
        <v>122</v>
      </c>
      <c r="B74" s="65"/>
      <c r="C74" s="59" t="s">
        <v>123</v>
      </c>
      <c r="D74" s="60" t="s">
        <v>122</v>
      </c>
      <c r="E74" s="61">
        <v>0</v>
      </c>
      <c r="F74" s="61">
        <v>0</v>
      </c>
      <c r="G74" s="62"/>
      <c r="H74" s="63" t="e">
        <f>E74/#REF!</f>
        <v>#REF!</v>
      </c>
      <c r="I74" s="61">
        <v>60000</v>
      </c>
      <c r="J74" s="61"/>
      <c r="K74" s="61">
        <v>0</v>
      </c>
      <c r="L74" s="61"/>
      <c r="M74" s="63" t="e">
        <f t="shared" si="3"/>
        <v>#DIV/0!</v>
      </c>
      <c r="N74" s="61"/>
      <c r="O74" s="63">
        <f t="shared" si="0"/>
        <v>0</v>
      </c>
      <c r="P74" s="61" t="e">
        <f>E74-#REF!</f>
        <v>#REF!</v>
      </c>
      <c r="Q74" s="68"/>
    </row>
    <row r="75" spans="1:17" ht="71.25" customHeight="1" hidden="1" outlineLevel="5">
      <c r="A75" s="64" t="s">
        <v>122</v>
      </c>
      <c r="B75" s="65"/>
      <c r="C75" s="59" t="s">
        <v>124</v>
      </c>
      <c r="D75" s="60" t="s">
        <v>122</v>
      </c>
      <c r="E75" s="51">
        <v>-23389.69</v>
      </c>
      <c r="F75" s="61">
        <v>0</v>
      </c>
      <c r="G75" s="62"/>
      <c r="H75" s="63" t="e">
        <f>E75/#REF!</f>
        <v>#REF!</v>
      </c>
      <c r="I75" s="61">
        <v>60000</v>
      </c>
      <c r="J75" s="61"/>
      <c r="K75" s="61">
        <v>0</v>
      </c>
      <c r="L75" s="61"/>
      <c r="M75" s="63" t="e">
        <f t="shared" si="3"/>
        <v>#DIV/0!</v>
      </c>
      <c r="N75" s="61"/>
      <c r="O75" s="63">
        <f t="shared" si="0"/>
        <v>0</v>
      </c>
      <c r="P75" s="61" t="e">
        <f>E75-#REF!</f>
        <v>#REF!</v>
      </c>
      <c r="Q75" s="68"/>
    </row>
    <row r="76" spans="1:17" s="32" customFormat="1" ht="83.25" customHeight="1" outlineLevel="1" collapsed="1">
      <c r="A76" s="24" t="s">
        <v>125</v>
      </c>
      <c r="B76" s="48" t="s">
        <v>126</v>
      </c>
      <c r="C76" s="49" t="s">
        <v>127</v>
      </c>
      <c r="D76" s="50" t="s">
        <v>125</v>
      </c>
      <c r="E76" s="51">
        <v>-23389.69</v>
      </c>
      <c r="F76" s="51">
        <v>3014.2</v>
      </c>
      <c r="G76" s="58">
        <f>F76-E76</f>
        <v>26403.89</v>
      </c>
      <c r="H76" s="54">
        <f>F76/E76</f>
        <v>-0.12886874516079522</v>
      </c>
      <c r="I76" s="51"/>
      <c r="J76" s="51"/>
      <c r="K76" s="51">
        <v>942.29</v>
      </c>
      <c r="L76" s="51">
        <f>K76-J76</f>
        <v>942.29</v>
      </c>
      <c r="M76" s="54"/>
      <c r="N76" s="51"/>
      <c r="O76" s="54"/>
      <c r="P76" s="51">
        <f>K76-F76</f>
        <v>-2071.91</v>
      </c>
      <c r="Q76" s="56"/>
    </row>
    <row r="77" spans="1:17" s="32" customFormat="1" ht="15.75" customHeight="1" hidden="1" outlineLevel="3">
      <c r="A77" s="24" t="s">
        <v>128</v>
      </c>
      <c r="B77" s="48"/>
      <c r="C77" s="49" t="s">
        <v>23</v>
      </c>
      <c r="D77" s="50" t="s">
        <v>128</v>
      </c>
      <c r="E77" s="51">
        <v>78.92</v>
      </c>
      <c r="F77" s="51">
        <v>78.92</v>
      </c>
      <c r="G77" s="58"/>
      <c r="H77" s="54" t="e">
        <f>E77/#REF!</f>
        <v>#REF!</v>
      </c>
      <c r="I77" s="51">
        <v>0</v>
      </c>
      <c r="J77" s="51"/>
      <c r="K77" s="51">
        <v>78.92</v>
      </c>
      <c r="L77" s="51"/>
      <c r="M77" s="54" t="e">
        <f>I77/G77</f>
        <v>#DIV/0!</v>
      </c>
      <c r="N77" s="51"/>
      <c r="O77" s="54" t="e">
        <f t="shared" si="0"/>
        <v>#DIV/0!</v>
      </c>
      <c r="P77" s="51" t="e">
        <f>E77-#REF!</f>
        <v>#REF!</v>
      </c>
      <c r="Q77" s="69"/>
    </row>
    <row r="78" spans="1:17" s="32" customFormat="1" ht="180" customHeight="1" hidden="1" outlineLevel="4">
      <c r="A78" s="24" t="s">
        <v>129</v>
      </c>
      <c r="B78" s="48"/>
      <c r="C78" s="49" t="s">
        <v>130</v>
      </c>
      <c r="D78" s="50" t="s">
        <v>129</v>
      </c>
      <c r="E78" s="51">
        <v>78.92</v>
      </c>
      <c r="F78" s="51">
        <v>78.92</v>
      </c>
      <c r="G78" s="58"/>
      <c r="H78" s="54" t="e">
        <f>E78/#REF!</f>
        <v>#REF!</v>
      </c>
      <c r="I78" s="51">
        <v>0</v>
      </c>
      <c r="J78" s="51"/>
      <c r="K78" s="51">
        <v>78.92</v>
      </c>
      <c r="L78" s="51"/>
      <c r="M78" s="54" t="e">
        <f>I78/G78</f>
        <v>#DIV/0!</v>
      </c>
      <c r="N78" s="51"/>
      <c r="O78" s="54" t="e">
        <f t="shared" si="0"/>
        <v>#DIV/0!</v>
      </c>
      <c r="P78" s="51" t="e">
        <f>E78-#REF!</f>
        <v>#REF!</v>
      </c>
      <c r="Q78" s="69"/>
    </row>
    <row r="79" spans="1:17" s="32" customFormat="1" ht="180" customHeight="1" hidden="1" outlineLevel="5">
      <c r="A79" s="24" t="s">
        <v>131</v>
      </c>
      <c r="B79" s="48"/>
      <c r="C79" s="49" t="s">
        <v>132</v>
      </c>
      <c r="D79" s="50" t="s">
        <v>131</v>
      </c>
      <c r="E79" s="72">
        <f>E80+E89+E105+E108+E111+E112</f>
        <v>106887173.90000002</v>
      </c>
      <c r="F79" s="51">
        <v>78.92</v>
      </c>
      <c r="G79" s="58"/>
      <c r="H79" s="54" t="e">
        <f>E79/#REF!</f>
        <v>#REF!</v>
      </c>
      <c r="I79" s="51">
        <v>0</v>
      </c>
      <c r="J79" s="51"/>
      <c r="K79" s="51">
        <v>78.92</v>
      </c>
      <c r="L79" s="51"/>
      <c r="M79" s="54" t="e">
        <f>I79/G79</f>
        <v>#DIV/0!</v>
      </c>
      <c r="N79" s="51"/>
      <c r="O79" s="54" t="e">
        <f>K79/I79</f>
        <v>#DIV/0!</v>
      </c>
      <c r="P79" s="51" t="e">
        <f>E79-#REF!</f>
        <v>#REF!</v>
      </c>
      <c r="Q79" s="69"/>
    </row>
    <row r="80" spans="1:17" s="32" customFormat="1" ht="39" customHeight="1" outlineLevel="5">
      <c r="A80" s="24"/>
      <c r="B80" s="48" t="s">
        <v>133</v>
      </c>
      <c r="C80" s="70" t="s">
        <v>134</v>
      </c>
      <c r="D80" s="71"/>
      <c r="E80" s="72">
        <f>E81+E90+E106+E109+E112+E113</f>
        <v>73494552.89</v>
      </c>
      <c r="F80" s="72">
        <f>F81+F90+F106+F109+F112+F113</f>
        <v>14516553.95</v>
      </c>
      <c r="G80" s="72">
        <f>G81+G90+G106+G109+G112+G113</f>
        <v>-58737165.800000004</v>
      </c>
      <c r="H80" s="72">
        <f>F80/E80</f>
        <v>0.19751877355764128</v>
      </c>
      <c r="I80" s="72">
        <f>I81+I90+I106+I109+I112+I113</f>
        <v>60969508.61</v>
      </c>
      <c r="J80" s="72">
        <f>J81+J90+J106+J109+J112+J113</f>
        <v>2230316.48</v>
      </c>
      <c r="K80" s="72">
        <f>K81+K90+K106+K109+K112+K113</f>
        <v>41965975.92</v>
      </c>
      <c r="L80" s="72">
        <f>K80-J80</f>
        <v>39735659.440000005</v>
      </c>
      <c r="M80" s="72" t="e">
        <f>M81+M90+M106+M109+M112+M113</f>
        <v>#DIV/0!</v>
      </c>
      <c r="N80" s="72">
        <f>N81+N90+N106+N109+N112+N113</f>
        <v>-19003532.689999998</v>
      </c>
      <c r="O80" s="72">
        <f>O81+O90+O106+O109+O112+O113</f>
        <v>148.59436725805367</v>
      </c>
      <c r="P80" s="72">
        <f>K80-F80</f>
        <v>27449421.970000003</v>
      </c>
      <c r="Q80" s="56"/>
    </row>
    <row r="81" spans="1:17" s="32" customFormat="1" ht="72" customHeight="1" outlineLevel="1">
      <c r="A81" s="24" t="s">
        <v>135</v>
      </c>
      <c r="B81" s="48" t="s">
        <v>136</v>
      </c>
      <c r="C81" s="49" t="s">
        <v>137</v>
      </c>
      <c r="D81" s="50" t="s">
        <v>135</v>
      </c>
      <c r="E81" s="51">
        <f>E82+E83+E84+E85+E89</f>
        <v>37416244.75</v>
      </c>
      <c r="F81" s="51">
        <f>F82+F83+F84+F85+F89</f>
        <v>5868334.53</v>
      </c>
      <c r="G81" s="58">
        <f>G82+G83+G85+G89</f>
        <v>-31518670.08</v>
      </c>
      <c r="H81" s="54">
        <f>F81/E81</f>
        <v>0.15683921700881007</v>
      </c>
      <c r="I81" s="51">
        <f>I82+I83+I84+I85+I89</f>
        <v>26290475.19</v>
      </c>
      <c r="J81" s="51">
        <f>J82+J83+J84+J85+J89</f>
        <v>859800</v>
      </c>
      <c r="K81" s="51">
        <f>K82+K83+K84+K85+K89</f>
        <v>5259048.89</v>
      </c>
      <c r="L81" s="51">
        <f>K81-J81</f>
        <v>4399248.89</v>
      </c>
      <c r="M81" s="54">
        <f>I81/G81</f>
        <v>-0.8341238739854852</v>
      </c>
      <c r="N81" s="51">
        <f>N82+N83+N84+N85+N89</f>
        <v>-21031426.3</v>
      </c>
      <c r="O81" s="54">
        <f aca="true" t="shared" si="14" ref="O81:O127">K81/I81</f>
        <v>0.20003628127651196</v>
      </c>
      <c r="P81" s="51">
        <f>K81-F81</f>
        <v>-609285.6400000006</v>
      </c>
      <c r="Q81" s="56"/>
    </row>
    <row r="82" spans="1:17" ht="66.75" customHeight="1" outlineLevel="4">
      <c r="A82" s="64" t="s">
        <v>138</v>
      </c>
      <c r="B82" s="65" t="s">
        <v>139</v>
      </c>
      <c r="C82" s="59" t="s">
        <v>140</v>
      </c>
      <c r="D82" s="60" t="s">
        <v>138</v>
      </c>
      <c r="E82" s="61">
        <v>24363527.29</v>
      </c>
      <c r="F82" s="61">
        <v>3901098.68</v>
      </c>
      <c r="G82" s="62">
        <f>F82-E82</f>
        <v>-20462428.61</v>
      </c>
      <c r="H82" s="63">
        <f>F82/E82</f>
        <v>0.1601204387839689</v>
      </c>
      <c r="I82" s="61">
        <v>15000000</v>
      </c>
      <c r="J82" s="61">
        <v>350000</v>
      </c>
      <c r="K82" s="61">
        <f>3507975.82+4886.32-1482.35+104.76</f>
        <v>3511484.5499999993</v>
      </c>
      <c r="L82" s="61">
        <f>K82-J82</f>
        <v>3161484.5499999993</v>
      </c>
      <c r="M82" s="63">
        <f>I82/G82</f>
        <v>-0.7330508164934778</v>
      </c>
      <c r="N82" s="61">
        <f>K82-I82</f>
        <v>-11488515.450000001</v>
      </c>
      <c r="O82" s="63">
        <f t="shared" si="14"/>
        <v>0.23409896999999996</v>
      </c>
      <c r="P82" s="61">
        <f>K82-F82</f>
        <v>-389614.1300000008</v>
      </c>
      <c r="Q82" s="66" t="s">
        <v>268</v>
      </c>
    </row>
    <row r="83" spans="1:17" ht="61.5" customHeight="1" outlineLevel="4">
      <c r="A83" s="64" t="s">
        <v>141</v>
      </c>
      <c r="B83" s="65" t="s">
        <v>142</v>
      </c>
      <c r="C83" s="59" t="s">
        <v>143</v>
      </c>
      <c r="D83" s="60" t="s">
        <v>141</v>
      </c>
      <c r="E83" s="61">
        <v>977974.72</v>
      </c>
      <c r="F83" s="61">
        <v>231933.97</v>
      </c>
      <c r="G83" s="62">
        <f aca="true" t="shared" si="15" ref="G83:G89">F83-E83</f>
        <v>-746040.75</v>
      </c>
      <c r="H83" s="63">
        <f aca="true" t="shared" si="16" ref="H83:H89">F83/E83</f>
        <v>0.237157428772801</v>
      </c>
      <c r="I83" s="61">
        <v>987235.05</v>
      </c>
      <c r="J83" s="61">
        <v>109800</v>
      </c>
      <c r="K83" s="61">
        <f>264233.42+18688.71+11320.05</f>
        <v>294242.18</v>
      </c>
      <c r="L83" s="61">
        <f aca="true" t="shared" si="17" ref="L83:L89">K83-J83</f>
        <v>184442.18</v>
      </c>
      <c r="M83" s="63">
        <f>I83/G83</f>
        <v>-1.323299095927401</v>
      </c>
      <c r="N83" s="61">
        <f aca="true" t="shared" si="18" ref="N83:N89">K83-I83</f>
        <v>-692992.8700000001</v>
      </c>
      <c r="O83" s="63">
        <f t="shared" si="14"/>
        <v>0.2980467316268805</v>
      </c>
      <c r="P83" s="61">
        <f aca="true" t="shared" si="19" ref="P83:P89">K83-F83</f>
        <v>62308.20999999999</v>
      </c>
      <c r="Q83" s="66"/>
    </row>
    <row r="84" spans="1:17" ht="108" customHeight="1" outlineLevel="4">
      <c r="A84" s="64"/>
      <c r="B84" s="65" t="s">
        <v>144</v>
      </c>
      <c r="C84" s="59" t="s">
        <v>145</v>
      </c>
      <c r="D84" s="60" t="s">
        <v>146</v>
      </c>
      <c r="E84" s="61">
        <v>58480.28</v>
      </c>
      <c r="F84" s="61">
        <v>29240.14</v>
      </c>
      <c r="G84" s="62">
        <f t="shared" si="15"/>
        <v>-29240.14</v>
      </c>
      <c r="H84" s="63">
        <f t="shared" si="16"/>
        <v>0.5</v>
      </c>
      <c r="I84" s="61">
        <v>29240.14</v>
      </c>
      <c r="J84" s="61"/>
      <c r="K84" s="61">
        <v>27691.96</v>
      </c>
      <c r="L84" s="61">
        <f t="shared" si="17"/>
        <v>27691.96</v>
      </c>
      <c r="M84" s="63"/>
      <c r="N84" s="61">
        <f t="shared" si="18"/>
        <v>-1548.1800000000003</v>
      </c>
      <c r="O84" s="63"/>
      <c r="P84" s="61"/>
      <c r="Q84" s="73" t="s">
        <v>147</v>
      </c>
    </row>
    <row r="85" spans="1:17" ht="38.25" customHeight="1" outlineLevel="2">
      <c r="A85" s="64" t="s">
        <v>148</v>
      </c>
      <c r="B85" s="65" t="s">
        <v>149</v>
      </c>
      <c r="C85" s="59" t="s">
        <v>150</v>
      </c>
      <c r="D85" s="60" t="s">
        <v>148</v>
      </c>
      <c r="E85" s="62">
        <v>5843542.64</v>
      </c>
      <c r="F85" s="62"/>
      <c r="G85" s="62">
        <f t="shared" si="15"/>
        <v>-5843542.64</v>
      </c>
      <c r="H85" s="63">
        <f t="shared" si="16"/>
        <v>0</v>
      </c>
      <c r="I85" s="61">
        <v>4966000</v>
      </c>
      <c r="J85" s="61"/>
      <c r="K85" s="62"/>
      <c r="L85" s="61">
        <f t="shared" si="17"/>
        <v>0</v>
      </c>
      <c r="M85" s="63">
        <f aca="true" t="shared" si="20" ref="M85:M112">I85/G85</f>
        <v>-0.8498269467577634</v>
      </c>
      <c r="N85" s="61">
        <f t="shared" si="18"/>
        <v>-4966000</v>
      </c>
      <c r="O85" s="63">
        <f t="shared" si="14"/>
        <v>0</v>
      </c>
      <c r="P85" s="61">
        <f t="shared" si="19"/>
        <v>0</v>
      </c>
      <c r="Q85" s="66" t="s">
        <v>257</v>
      </c>
    </row>
    <row r="86" spans="1:17" ht="15" customHeight="1" hidden="1" outlineLevel="3">
      <c r="A86" s="64" t="s">
        <v>151</v>
      </c>
      <c r="B86" s="65"/>
      <c r="C86" s="59" t="s">
        <v>23</v>
      </c>
      <c r="D86" s="60" t="s">
        <v>151</v>
      </c>
      <c r="E86" s="61"/>
      <c r="F86" s="61"/>
      <c r="G86" s="62">
        <f t="shared" si="15"/>
        <v>0</v>
      </c>
      <c r="H86" s="63" t="e">
        <f t="shared" si="16"/>
        <v>#DIV/0!</v>
      </c>
      <c r="I86" s="61"/>
      <c r="J86" s="61"/>
      <c r="K86" s="61"/>
      <c r="L86" s="61">
        <f t="shared" si="17"/>
        <v>0</v>
      </c>
      <c r="M86" s="63" t="e">
        <f t="shared" si="20"/>
        <v>#DIV/0!</v>
      </c>
      <c r="N86" s="61">
        <f t="shared" si="18"/>
        <v>0</v>
      </c>
      <c r="O86" s="63" t="e">
        <f t="shared" si="14"/>
        <v>#DIV/0!</v>
      </c>
      <c r="P86" s="61">
        <f t="shared" si="19"/>
        <v>0</v>
      </c>
      <c r="Q86" s="68"/>
    </row>
    <row r="87" spans="1:17" ht="128.25" customHeight="1" hidden="1" outlineLevel="4">
      <c r="A87" s="64" t="s">
        <v>152</v>
      </c>
      <c r="B87" s="65"/>
      <c r="C87" s="59" t="s">
        <v>153</v>
      </c>
      <c r="D87" s="60" t="s">
        <v>152</v>
      </c>
      <c r="E87" s="61"/>
      <c r="F87" s="61"/>
      <c r="G87" s="62">
        <f t="shared" si="15"/>
        <v>0</v>
      </c>
      <c r="H87" s="63" t="e">
        <f t="shared" si="16"/>
        <v>#DIV/0!</v>
      </c>
      <c r="I87" s="61"/>
      <c r="J87" s="61"/>
      <c r="K87" s="61"/>
      <c r="L87" s="61">
        <f t="shared" si="17"/>
        <v>0</v>
      </c>
      <c r="M87" s="63" t="e">
        <f t="shared" si="20"/>
        <v>#DIV/0!</v>
      </c>
      <c r="N87" s="61">
        <f t="shared" si="18"/>
        <v>0</v>
      </c>
      <c r="O87" s="63" t="e">
        <f t="shared" si="14"/>
        <v>#DIV/0!</v>
      </c>
      <c r="P87" s="61">
        <f t="shared" si="19"/>
        <v>0</v>
      </c>
      <c r="Q87" s="68"/>
    </row>
    <row r="88" spans="1:17" ht="128.25" customHeight="1" hidden="1" outlineLevel="5">
      <c r="A88" s="64" t="s">
        <v>152</v>
      </c>
      <c r="B88" s="65"/>
      <c r="C88" s="59" t="s">
        <v>154</v>
      </c>
      <c r="D88" s="60" t="s">
        <v>152</v>
      </c>
      <c r="E88" s="61"/>
      <c r="F88" s="61"/>
      <c r="G88" s="62">
        <f t="shared" si="15"/>
        <v>0</v>
      </c>
      <c r="H88" s="63" t="e">
        <f t="shared" si="16"/>
        <v>#DIV/0!</v>
      </c>
      <c r="I88" s="61"/>
      <c r="J88" s="61"/>
      <c r="K88" s="61"/>
      <c r="L88" s="61">
        <f t="shared" si="17"/>
        <v>0</v>
      </c>
      <c r="M88" s="63" t="e">
        <f t="shared" si="20"/>
        <v>#DIV/0!</v>
      </c>
      <c r="N88" s="61">
        <f t="shared" si="18"/>
        <v>0</v>
      </c>
      <c r="O88" s="63" t="e">
        <f t="shared" si="14"/>
        <v>#DIV/0!</v>
      </c>
      <c r="P88" s="61">
        <f t="shared" si="19"/>
        <v>0</v>
      </c>
      <c r="Q88" s="68"/>
    </row>
    <row r="89" spans="1:17" ht="69.75" customHeight="1" outlineLevel="2" collapsed="1">
      <c r="A89" s="64" t="s">
        <v>155</v>
      </c>
      <c r="B89" s="65" t="s">
        <v>156</v>
      </c>
      <c r="C89" s="59" t="s">
        <v>157</v>
      </c>
      <c r="D89" s="60" t="s">
        <v>155</v>
      </c>
      <c r="E89" s="61">
        <v>6172719.82</v>
      </c>
      <c r="F89" s="61">
        <v>1706061.74</v>
      </c>
      <c r="G89" s="62">
        <f t="shared" si="15"/>
        <v>-4466658.08</v>
      </c>
      <c r="H89" s="63">
        <f t="shared" si="16"/>
        <v>0.2763873607987605</v>
      </c>
      <c r="I89" s="61">
        <v>5308000</v>
      </c>
      <c r="J89" s="61">
        <v>400000</v>
      </c>
      <c r="K89" s="61">
        <f>1299978.12+125536.25+115.83</f>
        <v>1425630.2000000002</v>
      </c>
      <c r="L89" s="61">
        <f t="shared" si="17"/>
        <v>1025630.2000000002</v>
      </c>
      <c r="M89" s="63">
        <f t="shared" si="20"/>
        <v>-1.1883604934452472</v>
      </c>
      <c r="N89" s="61">
        <f t="shared" si="18"/>
        <v>-3882369.8</v>
      </c>
      <c r="O89" s="63">
        <f t="shared" si="14"/>
        <v>0.26858142426526</v>
      </c>
      <c r="P89" s="61">
        <f t="shared" si="19"/>
        <v>-280431.5399999998</v>
      </c>
      <c r="Q89" s="66"/>
    </row>
    <row r="90" spans="1:17" s="32" customFormat="1" ht="98.25" customHeight="1" outlineLevel="1">
      <c r="A90" s="24" t="s">
        <v>158</v>
      </c>
      <c r="B90" s="48" t="s">
        <v>159</v>
      </c>
      <c r="C90" s="49" t="s">
        <v>160</v>
      </c>
      <c r="D90" s="50" t="s">
        <v>158</v>
      </c>
      <c r="E90" s="51">
        <v>485335.25</v>
      </c>
      <c r="F90" s="51">
        <v>54832.08</v>
      </c>
      <c r="G90" s="58">
        <f>F90-E90</f>
        <v>-430503.17</v>
      </c>
      <c r="H90" s="54">
        <f>F90/E90</f>
        <v>0.11297774064422479</v>
      </c>
      <c r="I90" s="51">
        <v>231800</v>
      </c>
      <c r="J90" s="51">
        <v>0</v>
      </c>
      <c r="K90" s="51">
        <f>144363.36+33.88</f>
        <v>144397.24</v>
      </c>
      <c r="L90" s="51">
        <f>K90-J90</f>
        <v>144397.24</v>
      </c>
      <c r="M90" s="54">
        <f t="shared" si="20"/>
        <v>-0.5384397053336448</v>
      </c>
      <c r="N90" s="51">
        <f>K90-I90</f>
        <v>-87402.76000000001</v>
      </c>
      <c r="O90" s="54">
        <f t="shared" si="14"/>
        <v>0.6229389128559102</v>
      </c>
      <c r="P90" s="51">
        <f>K90-F90</f>
        <v>89565.15999999999</v>
      </c>
      <c r="Q90" s="74"/>
    </row>
    <row r="91" spans="1:17" s="32" customFormat="1" ht="15.75" customHeight="1" hidden="1" outlineLevel="3">
      <c r="A91" s="24" t="s">
        <v>161</v>
      </c>
      <c r="B91" s="48"/>
      <c r="C91" s="49" t="s">
        <v>23</v>
      </c>
      <c r="D91" s="50" t="s">
        <v>161</v>
      </c>
      <c r="E91" s="51">
        <v>2890.68</v>
      </c>
      <c r="F91" s="51">
        <v>2890.68</v>
      </c>
      <c r="G91" s="58"/>
      <c r="H91" s="54">
        <f aca="true" t="shared" si="21" ref="H91:H130">F91/E91</f>
        <v>1</v>
      </c>
      <c r="I91" s="51">
        <v>33800</v>
      </c>
      <c r="J91" s="51"/>
      <c r="K91" s="51">
        <v>2890.68</v>
      </c>
      <c r="L91" s="51">
        <f aca="true" t="shared" si="22" ref="L91:L120">K91-J91</f>
        <v>2890.68</v>
      </c>
      <c r="M91" s="54" t="e">
        <f t="shared" si="20"/>
        <v>#DIV/0!</v>
      </c>
      <c r="N91" s="51">
        <f aca="true" t="shared" si="23" ref="N91:N106">K91-I91</f>
        <v>-30909.32</v>
      </c>
      <c r="O91" s="54">
        <f t="shared" si="14"/>
        <v>0.08552307692307692</v>
      </c>
      <c r="P91" s="51">
        <f aca="true" t="shared" si="24" ref="P91:P130">K91-F91</f>
        <v>0</v>
      </c>
      <c r="Q91" s="69"/>
    </row>
    <row r="92" spans="1:17" s="32" customFormat="1" ht="90" customHeight="1" hidden="1" outlineLevel="4">
      <c r="A92" s="24" t="s">
        <v>162</v>
      </c>
      <c r="B92" s="48"/>
      <c r="C92" s="49" t="s">
        <v>163</v>
      </c>
      <c r="D92" s="50" t="s">
        <v>162</v>
      </c>
      <c r="E92" s="51">
        <v>0</v>
      </c>
      <c r="F92" s="51">
        <v>2890.68</v>
      </c>
      <c r="G92" s="58"/>
      <c r="H92" s="54" t="e">
        <f t="shared" si="21"/>
        <v>#DIV/0!</v>
      </c>
      <c r="I92" s="51">
        <v>33800</v>
      </c>
      <c r="J92" s="51"/>
      <c r="K92" s="51">
        <v>2890.68</v>
      </c>
      <c r="L92" s="51">
        <f t="shared" si="22"/>
        <v>2890.68</v>
      </c>
      <c r="M92" s="54" t="e">
        <f t="shared" si="20"/>
        <v>#DIV/0!</v>
      </c>
      <c r="N92" s="51">
        <f t="shared" si="23"/>
        <v>-30909.32</v>
      </c>
      <c r="O92" s="54">
        <f t="shared" si="14"/>
        <v>0.08552307692307692</v>
      </c>
      <c r="P92" s="51">
        <f t="shared" si="24"/>
        <v>0</v>
      </c>
      <c r="Q92" s="69"/>
    </row>
    <row r="93" spans="1:17" s="32" customFormat="1" ht="90" customHeight="1" hidden="1" outlineLevel="5">
      <c r="A93" s="24" t="s">
        <v>162</v>
      </c>
      <c r="B93" s="48"/>
      <c r="C93" s="49" t="s">
        <v>164</v>
      </c>
      <c r="D93" s="50" t="s">
        <v>162</v>
      </c>
      <c r="E93" s="51">
        <v>2890.68</v>
      </c>
      <c r="F93" s="51">
        <v>0</v>
      </c>
      <c r="G93" s="58"/>
      <c r="H93" s="54">
        <f t="shared" si="21"/>
        <v>0</v>
      </c>
      <c r="I93" s="51">
        <v>33800</v>
      </c>
      <c r="J93" s="51"/>
      <c r="K93" s="51">
        <v>0</v>
      </c>
      <c r="L93" s="51">
        <f t="shared" si="22"/>
        <v>0</v>
      </c>
      <c r="M93" s="54" t="e">
        <f t="shared" si="20"/>
        <v>#DIV/0!</v>
      </c>
      <c r="N93" s="51">
        <f t="shared" si="23"/>
        <v>-33800</v>
      </c>
      <c r="O93" s="54">
        <f t="shared" si="14"/>
        <v>0</v>
      </c>
      <c r="P93" s="51">
        <f t="shared" si="24"/>
        <v>0</v>
      </c>
      <c r="Q93" s="69"/>
    </row>
    <row r="94" spans="1:17" s="32" customFormat="1" ht="90" customHeight="1" hidden="1" outlineLevel="5">
      <c r="A94" s="24" t="s">
        <v>165</v>
      </c>
      <c r="B94" s="48"/>
      <c r="C94" s="49" t="s">
        <v>164</v>
      </c>
      <c r="D94" s="50" t="s">
        <v>165</v>
      </c>
      <c r="E94" s="51">
        <v>53.23</v>
      </c>
      <c r="F94" s="51">
        <v>2890.68</v>
      </c>
      <c r="G94" s="58"/>
      <c r="H94" s="54">
        <f t="shared" si="21"/>
        <v>54.30546684200639</v>
      </c>
      <c r="I94" s="51">
        <v>0</v>
      </c>
      <c r="J94" s="51"/>
      <c r="K94" s="51">
        <v>2890.68</v>
      </c>
      <c r="L94" s="51">
        <f t="shared" si="22"/>
        <v>2890.68</v>
      </c>
      <c r="M94" s="54" t="e">
        <f t="shared" si="20"/>
        <v>#DIV/0!</v>
      </c>
      <c r="N94" s="51">
        <f t="shared" si="23"/>
        <v>2890.68</v>
      </c>
      <c r="O94" s="54" t="e">
        <f t="shared" si="14"/>
        <v>#DIV/0!</v>
      </c>
      <c r="P94" s="51">
        <f t="shared" si="24"/>
        <v>0</v>
      </c>
      <c r="Q94" s="69"/>
    </row>
    <row r="95" spans="1:17" s="32" customFormat="1" ht="15.75" customHeight="1" hidden="1" outlineLevel="3">
      <c r="A95" s="24" t="s">
        <v>166</v>
      </c>
      <c r="B95" s="48"/>
      <c r="C95" s="49" t="s">
        <v>23</v>
      </c>
      <c r="D95" s="50" t="s">
        <v>166</v>
      </c>
      <c r="E95" s="51">
        <v>53.23</v>
      </c>
      <c r="F95" s="51">
        <v>53.23</v>
      </c>
      <c r="G95" s="58"/>
      <c r="H95" s="54">
        <f t="shared" si="21"/>
        <v>1</v>
      </c>
      <c r="I95" s="51">
        <v>0</v>
      </c>
      <c r="J95" s="51"/>
      <c r="K95" s="51">
        <v>53.23</v>
      </c>
      <c r="L95" s="51">
        <f t="shared" si="22"/>
        <v>53.23</v>
      </c>
      <c r="M95" s="54" t="e">
        <f t="shared" si="20"/>
        <v>#DIV/0!</v>
      </c>
      <c r="N95" s="51">
        <f t="shared" si="23"/>
        <v>53.23</v>
      </c>
      <c r="O95" s="54" t="e">
        <f t="shared" si="14"/>
        <v>#DIV/0!</v>
      </c>
      <c r="P95" s="51">
        <f t="shared" si="24"/>
        <v>0</v>
      </c>
      <c r="Q95" s="69"/>
    </row>
    <row r="96" spans="1:17" s="32" customFormat="1" ht="90" customHeight="1" hidden="1" outlineLevel="4">
      <c r="A96" s="24" t="s">
        <v>167</v>
      </c>
      <c r="B96" s="48"/>
      <c r="C96" s="49" t="s">
        <v>168</v>
      </c>
      <c r="D96" s="50" t="s">
        <v>167</v>
      </c>
      <c r="E96" s="51">
        <v>53.23</v>
      </c>
      <c r="F96" s="51">
        <v>53.23</v>
      </c>
      <c r="G96" s="58"/>
      <c r="H96" s="54">
        <f t="shared" si="21"/>
        <v>1</v>
      </c>
      <c r="I96" s="51">
        <v>0</v>
      </c>
      <c r="J96" s="51"/>
      <c r="K96" s="51">
        <v>53.23</v>
      </c>
      <c r="L96" s="51">
        <f t="shared" si="22"/>
        <v>53.23</v>
      </c>
      <c r="M96" s="54" t="e">
        <f t="shared" si="20"/>
        <v>#DIV/0!</v>
      </c>
      <c r="N96" s="51">
        <f t="shared" si="23"/>
        <v>53.23</v>
      </c>
      <c r="O96" s="54" t="e">
        <f t="shared" si="14"/>
        <v>#DIV/0!</v>
      </c>
      <c r="P96" s="51">
        <f t="shared" si="24"/>
        <v>0</v>
      </c>
      <c r="Q96" s="69"/>
    </row>
    <row r="97" spans="1:17" s="32" customFormat="1" ht="90" customHeight="1" hidden="1" outlineLevel="5">
      <c r="A97" s="24" t="s">
        <v>169</v>
      </c>
      <c r="B97" s="48"/>
      <c r="C97" s="49" t="s">
        <v>170</v>
      </c>
      <c r="D97" s="50" t="s">
        <v>169</v>
      </c>
      <c r="E97" s="51">
        <v>481.81</v>
      </c>
      <c r="F97" s="51">
        <v>53.23</v>
      </c>
      <c r="G97" s="58"/>
      <c r="H97" s="54">
        <f t="shared" si="21"/>
        <v>0.11047923455303957</v>
      </c>
      <c r="I97" s="51">
        <v>0</v>
      </c>
      <c r="J97" s="51"/>
      <c r="K97" s="51">
        <v>53.23</v>
      </c>
      <c r="L97" s="51">
        <f t="shared" si="22"/>
        <v>53.23</v>
      </c>
      <c r="M97" s="54" t="e">
        <f t="shared" si="20"/>
        <v>#DIV/0!</v>
      </c>
      <c r="N97" s="51">
        <f t="shared" si="23"/>
        <v>53.23</v>
      </c>
      <c r="O97" s="54" t="e">
        <f t="shared" si="14"/>
        <v>#DIV/0!</v>
      </c>
      <c r="P97" s="51">
        <f t="shared" si="24"/>
        <v>0</v>
      </c>
      <c r="Q97" s="69"/>
    </row>
    <row r="98" spans="1:17" s="32" customFormat="1" ht="15.75" customHeight="1" hidden="1" outlineLevel="3">
      <c r="A98" s="24" t="s">
        <v>171</v>
      </c>
      <c r="B98" s="48"/>
      <c r="C98" s="49" t="s">
        <v>23</v>
      </c>
      <c r="D98" s="50" t="s">
        <v>171</v>
      </c>
      <c r="E98" s="51">
        <v>481.81</v>
      </c>
      <c r="F98" s="51">
        <v>481.81</v>
      </c>
      <c r="G98" s="58"/>
      <c r="H98" s="54">
        <f t="shared" si="21"/>
        <v>1</v>
      </c>
      <c r="I98" s="51">
        <v>59400</v>
      </c>
      <c r="J98" s="51"/>
      <c r="K98" s="51">
        <v>481.81</v>
      </c>
      <c r="L98" s="51">
        <f t="shared" si="22"/>
        <v>481.81</v>
      </c>
      <c r="M98" s="54" t="e">
        <f t="shared" si="20"/>
        <v>#DIV/0!</v>
      </c>
      <c r="N98" s="51">
        <f t="shared" si="23"/>
        <v>-58918.19</v>
      </c>
      <c r="O98" s="54">
        <f t="shared" si="14"/>
        <v>0.008111279461279462</v>
      </c>
      <c r="P98" s="51">
        <f t="shared" si="24"/>
        <v>0</v>
      </c>
      <c r="Q98" s="69"/>
    </row>
    <row r="99" spans="1:17" s="32" customFormat="1" ht="45" customHeight="1" hidden="1" outlineLevel="4">
      <c r="A99" s="24" t="s">
        <v>172</v>
      </c>
      <c r="B99" s="48"/>
      <c r="C99" s="49" t="s">
        <v>173</v>
      </c>
      <c r="D99" s="50" t="s">
        <v>172</v>
      </c>
      <c r="E99" s="51">
        <v>0</v>
      </c>
      <c r="F99" s="51">
        <v>481.81</v>
      </c>
      <c r="G99" s="58"/>
      <c r="H99" s="54" t="e">
        <f t="shared" si="21"/>
        <v>#DIV/0!</v>
      </c>
      <c r="I99" s="51">
        <v>59400</v>
      </c>
      <c r="J99" s="51"/>
      <c r="K99" s="51">
        <v>481.81</v>
      </c>
      <c r="L99" s="51">
        <f t="shared" si="22"/>
        <v>481.81</v>
      </c>
      <c r="M99" s="54" t="e">
        <f t="shared" si="20"/>
        <v>#DIV/0!</v>
      </c>
      <c r="N99" s="51">
        <f t="shared" si="23"/>
        <v>-58918.19</v>
      </c>
      <c r="O99" s="54">
        <f t="shared" si="14"/>
        <v>0.008111279461279462</v>
      </c>
      <c r="P99" s="51">
        <f t="shared" si="24"/>
        <v>0</v>
      </c>
      <c r="Q99" s="69"/>
    </row>
    <row r="100" spans="1:17" s="32" customFormat="1" ht="60" customHeight="1" hidden="1" outlineLevel="5">
      <c r="A100" s="24" t="s">
        <v>172</v>
      </c>
      <c r="B100" s="48"/>
      <c r="C100" s="49" t="s">
        <v>174</v>
      </c>
      <c r="D100" s="50" t="s">
        <v>172</v>
      </c>
      <c r="E100" s="51">
        <v>481.81</v>
      </c>
      <c r="F100" s="51">
        <v>0</v>
      </c>
      <c r="G100" s="58"/>
      <c r="H100" s="54">
        <f t="shared" si="21"/>
        <v>0</v>
      </c>
      <c r="I100" s="51">
        <v>59400</v>
      </c>
      <c r="J100" s="51"/>
      <c r="K100" s="51">
        <v>0</v>
      </c>
      <c r="L100" s="51">
        <f t="shared" si="22"/>
        <v>0</v>
      </c>
      <c r="M100" s="54" t="e">
        <f t="shared" si="20"/>
        <v>#DIV/0!</v>
      </c>
      <c r="N100" s="51">
        <f t="shared" si="23"/>
        <v>-59400</v>
      </c>
      <c r="O100" s="54">
        <f t="shared" si="14"/>
        <v>0</v>
      </c>
      <c r="P100" s="51">
        <f t="shared" si="24"/>
        <v>0</v>
      </c>
      <c r="Q100" s="69"/>
    </row>
    <row r="101" spans="1:17" s="32" customFormat="1" ht="60" customHeight="1" hidden="1" outlineLevel="5">
      <c r="A101" s="24" t="s">
        <v>175</v>
      </c>
      <c r="B101" s="48"/>
      <c r="C101" s="49" t="s">
        <v>176</v>
      </c>
      <c r="D101" s="50" t="s">
        <v>175</v>
      </c>
      <c r="E101" s="51">
        <v>39261.54</v>
      </c>
      <c r="F101" s="51">
        <v>481.81</v>
      </c>
      <c r="G101" s="58"/>
      <c r="H101" s="54">
        <f t="shared" si="21"/>
        <v>0.01227180594546215</v>
      </c>
      <c r="I101" s="51">
        <v>0</v>
      </c>
      <c r="J101" s="51"/>
      <c r="K101" s="51">
        <v>481.81</v>
      </c>
      <c r="L101" s="51">
        <f t="shared" si="22"/>
        <v>481.81</v>
      </c>
      <c r="M101" s="54" t="e">
        <f t="shared" si="20"/>
        <v>#DIV/0!</v>
      </c>
      <c r="N101" s="51">
        <f t="shared" si="23"/>
        <v>481.81</v>
      </c>
      <c r="O101" s="54" t="e">
        <f t="shared" si="14"/>
        <v>#DIV/0!</v>
      </c>
      <c r="P101" s="51">
        <f t="shared" si="24"/>
        <v>0</v>
      </c>
      <c r="Q101" s="69"/>
    </row>
    <row r="102" spans="1:17" s="32" customFormat="1" ht="15.75" customHeight="1" hidden="1" outlineLevel="3">
      <c r="A102" s="24" t="s">
        <v>177</v>
      </c>
      <c r="B102" s="48"/>
      <c r="C102" s="49" t="s">
        <v>23</v>
      </c>
      <c r="D102" s="50" t="s">
        <v>177</v>
      </c>
      <c r="E102" s="51">
        <v>39261.54</v>
      </c>
      <c r="F102" s="51">
        <v>39261.54</v>
      </c>
      <c r="G102" s="58"/>
      <c r="H102" s="54">
        <f t="shared" si="21"/>
        <v>1</v>
      </c>
      <c r="I102" s="51">
        <v>464900</v>
      </c>
      <c r="J102" s="51"/>
      <c r="K102" s="51">
        <v>39261.54</v>
      </c>
      <c r="L102" s="51">
        <f t="shared" si="22"/>
        <v>39261.54</v>
      </c>
      <c r="M102" s="54" t="e">
        <f t="shared" si="20"/>
        <v>#DIV/0!</v>
      </c>
      <c r="N102" s="51">
        <f t="shared" si="23"/>
        <v>-425638.46</v>
      </c>
      <c r="O102" s="54">
        <f t="shared" si="14"/>
        <v>0.0844515809851581</v>
      </c>
      <c r="P102" s="51">
        <f t="shared" si="24"/>
        <v>0</v>
      </c>
      <c r="Q102" s="69"/>
    </row>
    <row r="103" spans="1:17" s="32" customFormat="1" ht="60" customHeight="1" hidden="1" outlineLevel="4">
      <c r="A103" s="24" t="s">
        <v>178</v>
      </c>
      <c r="B103" s="48"/>
      <c r="C103" s="49" t="s">
        <v>179</v>
      </c>
      <c r="D103" s="50" t="s">
        <v>178</v>
      </c>
      <c r="E103" s="51">
        <v>0</v>
      </c>
      <c r="F103" s="51">
        <v>39261.54</v>
      </c>
      <c r="G103" s="58"/>
      <c r="H103" s="54" t="e">
        <f t="shared" si="21"/>
        <v>#DIV/0!</v>
      </c>
      <c r="I103" s="51">
        <v>464900</v>
      </c>
      <c r="J103" s="51"/>
      <c r="K103" s="51">
        <v>39261.54</v>
      </c>
      <c r="L103" s="51">
        <f t="shared" si="22"/>
        <v>39261.54</v>
      </c>
      <c r="M103" s="54" t="e">
        <f t="shared" si="20"/>
        <v>#DIV/0!</v>
      </c>
      <c r="N103" s="51">
        <f t="shared" si="23"/>
        <v>-425638.46</v>
      </c>
      <c r="O103" s="54">
        <f t="shared" si="14"/>
        <v>0.0844515809851581</v>
      </c>
      <c r="P103" s="51">
        <f t="shared" si="24"/>
        <v>0</v>
      </c>
      <c r="Q103" s="69"/>
    </row>
    <row r="104" spans="1:17" s="32" customFormat="1" ht="60" customHeight="1" hidden="1" outlineLevel="5">
      <c r="A104" s="24" t="s">
        <v>178</v>
      </c>
      <c r="B104" s="48"/>
      <c r="C104" s="49" t="s">
        <v>180</v>
      </c>
      <c r="D104" s="50" t="s">
        <v>178</v>
      </c>
      <c r="E104" s="51">
        <v>39261.54</v>
      </c>
      <c r="F104" s="51">
        <v>0</v>
      </c>
      <c r="G104" s="58"/>
      <c r="H104" s="54">
        <f t="shared" si="21"/>
        <v>0</v>
      </c>
      <c r="I104" s="51">
        <v>464900</v>
      </c>
      <c r="J104" s="51"/>
      <c r="K104" s="51">
        <v>0</v>
      </c>
      <c r="L104" s="51">
        <f t="shared" si="22"/>
        <v>0</v>
      </c>
      <c r="M104" s="54" t="e">
        <f t="shared" si="20"/>
        <v>#DIV/0!</v>
      </c>
      <c r="N104" s="51">
        <f t="shared" si="23"/>
        <v>-464900</v>
      </c>
      <c r="O104" s="54">
        <f t="shared" si="14"/>
        <v>0</v>
      </c>
      <c r="P104" s="51">
        <f t="shared" si="24"/>
        <v>0</v>
      </c>
      <c r="Q104" s="69"/>
    </row>
    <row r="105" spans="1:17" s="32" customFormat="1" ht="60" customHeight="1" hidden="1" outlineLevel="5">
      <c r="A105" s="24" t="s">
        <v>181</v>
      </c>
      <c r="B105" s="48"/>
      <c r="C105" s="49" t="s">
        <v>182</v>
      </c>
      <c r="D105" s="50" t="s">
        <v>181</v>
      </c>
      <c r="E105" s="51">
        <f>E106+E107</f>
        <v>10003098.77</v>
      </c>
      <c r="F105" s="51">
        <v>39261.54</v>
      </c>
      <c r="G105" s="58"/>
      <c r="H105" s="54">
        <f t="shared" si="21"/>
        <v>0.003924937752064204</v>
      </c>
      <c r="I105" s="51">
        <v>0</v>
      </c>
      <c r="J105" s="51"/>
      <c r="K105" s="51">
        <v>39261.54</v>
      </c>
      <c r="L105" s="51">
        <f t="shared" si="22"/>
        <v>39261.54</v>
      </c>
      <c r="M105" s="54" t="e">
        <f t="shared" si="20"/>
        <v>#DIV/0!</v>
      </c>
      <c r="N105" s="51">
        <f t="shared" si="23"/>
        <v>39261.54</v>
      </c>
      <c r="O105" s="54" t="e">
        <f t="shared" si="14"/>
        <v>#DIV/0!</v>
      </c>
      <c r="P105" s="51">
        <f t="shared" si="24"/>
        <v>0</v>
      </c>
      <c r="Q105" s="69"/>
    </row>
    <row r="106" spans="1:17" s="32" customFormat="1" ht="78.75" customHeight="1" outlineLevel="1" collapsed="1">
      <c r="A106" s="24" t="s">
        <v>183</v>
      </c>
      <c r="B106" s="48" t="s">
        <v>184</v>
      </c>
      <c r="C106" s="49" t="s">
        <v>185</v>
      </c>
      <c r="D106" s="50" t="s">
        <v>183</v>
      </c>
      <c r="E106" s="51">
        <f>E107+E108</f>
        <v>6949209.46</v>
      </c>
      <c r="F106" s="51">
        <f>F107+F108</f>
        <v>520847.88</v>
      </c>
      <c r="G106" s="58">
        <f>G107+G108</f>
        <v>-6428361.58</v>
      </c>
      <c r="H106" s="54">
        <f t="shared" si="21"/>
        <v>0.07495066640285153</v>
      </c>
      <c r="I106" s="51">
        <f>I107+I108</f>
        <v>3385056.7</v>
      </c>
      <c r="J106" s="51">
        <f>J107+J108</f>
        <v>217229</v>
      </c>
      <c r="K106" s="51">
        <f>K107+K108</f>
        <v>478644.8</v>
      </c>
      <c r="L106" s="51">
        <f t="shared" si="22"/>
        <v>261415.8</v>
      </c>
      <c r="M106" s="54">
        <f t="shared" si="20"/>
        <v>-0.526581564816085</v>
      </c>
      <c r="N106" s="51">
        <f t="shared" si="23"/>
        <v>-2906411.9000000004</v>
      </c>
      <c r="O106" s="54">
        <f t="shared" si="14"/>
        <v>0.141399344950411</v>
      </c>
      <c r="P106" s="51">
        <f t="shared" si="24"/>
        <v>-42203.080000000016</v>
      </c>
      <c r="Q106" s="56"/>
    </row>
    <row r="107" spans="1:17" ht="62.25" customHeight="1" outlineLevel="2">
      <c r="A107" s="64" t="s">
        <v>186</v>
      </c>
      <c r="B107" s="65" t="s">
        <v>187</v>
      </c>
      <c r="C107" s="59" t="s">
        <v>188</v>
      </c>
      <c r="D107" s="60" t="s">
        <v>186</v>
      </c>
      <c r="E107" s="61">
        <v>3053889.31</v>
      </c>
      <c r="F107" s="61">
        <v>510347.88</v>
      </c>
      <c r="G107" s="62">
        <f>F107-E107</f>
        <v>-2543541.43</v>
      </c>
      <c r="H107" s="63">
        <f t="shared" si="21"/>
        <v>0.16711407264463032</v>
      </c>
      <c r="I107" s="61">
        <v>3335156.7</v>
      </c>
      <c r="J107" s="61">
        <v>217229</v>
      </c>
      <c r="K107" s="61">
        <f>414145.3+42486</f>
        <v>456631.3</v>
      </c>
      <c r="L107" s="61">
        <f t="shared" si="22"/>
        <v>239402.3</v>
      </c>
      <c r="M107" s="63">
        <f t="shared" si="20"/>
        <v>-1.3112256245026055</v>
      </c>
      <c r="N107" s="61">
        <f>K107-I107</f>
        <v>-2878525.4000000004</v>
      </c>
      <c r="O107" s="63">
        <f t="shared" si="14"/>
        <v>0.1369144964013235</v>
      </c>
      <c r="P107" s="61">
        <f t="shared" si="24"/>
        <v>-53716.580000000016</v>
      </c>
      <c r="Q107" s="74"/>
    </row>
    <row r="108" spans="1:17" ht="35.25" customHeight="1" outlineLevel="3">
      <c r="A108" s="64" t="s">
        <v>189</v>
      </c>
      <c r="B108" s="65" t="s">
        <v>190</v>
      </c>
      <c r="C108" s="59" t="s">
        <v>191</v>
      </c>
      <c r="D108" s="60" t="s">
        <v>192</v>
      </c>
      <c r="E108" s="62">
        <v>3895320.15</v>
      </c>
      <c r="F108" s="62">
        <v>10500</v>
      </c>
      <c r="G108" s="62">
        <f>F108-E108</f>
        <v>-3884820.15</v>
      </c>
      <c r="H108" s="63">
        <f t="shared" si="21"/>
        <v>0.002695542239320175</v>
      </c>
      <c r="I108" s="61">
        <v>49900</v>
      </c>
      <c r="J108" s="61"/>
      <c r="K108" s="62">
        <v>22013.5</v>
      </c>
      <c r="L108" s="61">
        <f t="shared" si="22"/>
        <v>22013.5</v>
      </c>
      <c r="M108" s="63">
        <f t="shared" si="20"/>
        <v>-0.012844867477327104</v>
      </c>
      <c r="N108" s="61">
        <f>K108-I108</f>
        <v>-27886.5</v>
      </c>
      <c r="O108" s="63">
        <f t="shared" si="14"/>
        <v>0.44115230460921845</v>
      </c>
      <c r="P108" s="61">
        <f t="shared" si="24"/>
        <v>11513.5</v>
      </c>
      <c r="Q108" s="66"/>
    </row>
    <row r="109" spans="1:17" s="32" customFormat="1" ht="75" customHeight="1" outlineLevel="1">
      <c r="A109" s="24" t="s">
        <v>193</v>
      </c>
      <c r="B109" s="48" t="s">
        <v>194</v>
      </c>
      <c r="C109" s="49" t="s">
        <v>195</v>
      </c>
      <c r="D109" s="50" t="s">
        <v>193</v>
      </c>
      <c r="E109" s="51">
        <f>E110+E111</f>
        <v>19228417.560000002</v>
      </c>
      <c r="F109" s="51">
        <f>F110+F111</f>
        <v>4999014.6</v>
      </c>
      <c r="G109" s="58">
        <f>G110+G111</f>
        <v>-14229402.96</v>
      </c>
      <c r="H109" s="54">
        <f t="shared" si="21"/>
        <v>0.25998055141049264</v>
      </c>
      <c r="I109" s="51">
        <f>I110+I111</f>
        <v>23892500</v>
      </c>
      <c r="J109" s="51">
        <f>J110+J111</f>
        <v>200000</v>
      </c>
      <c r="K109" s="51">
        <f>K110+K111</f>
        <v>8828948.91</v>
      </c>
      <c r="L109" s="51">
        <f t="shared" si="22"/>
        <v>8628948.91</v>
      </c>
      <c r="M109" s="54">
        <f t="shared" si="20"/>
        <v>-1.6790936392175937</v>
      </c>
      <c r="N109" s="51">
        <f>N110+N111</f>
        <v>-15063551.09</v>
      </c>
      <c r="O109" s="54">
        <f t="shared" si="14"/>
        <v>0.3695280489693418</v>
      </c>
      <c r="P109" s="51">
        <f t="shared" si="24"/>
        <v>3829934.3100000005</v>
      </c>
      <c r="Q109" s="56"/>
    </row>
    <row r="110" spans="1:17" ht="75.75" customHeight="1" outlineLevel="2">
      <c r="A110" s="64" t="s">
        <v>196</v>
      </c>
      <c r="B110" s="65" t="s">
        <v>197</v>
      </c>
      <c r="C110" s="59" t="s">
        <v>198</v>
      </c>
      <c r="D110" s="60" t="s">
        <v>196</v>
      </c>
      <c r="E110" s="61">
        <v>7574993.66</v>
      </c>
      <c r="F110" s="61">
        <v>3037000</v>
      </c>
      <c r="G110" s="62">
        <f aca="true" t="shared" si="25" ref="G110:G130">F110-E110</f>
        <v>-4537993.66</v>
      </c>
      <c r="H110" s="63">
        <f t="shared" si="21"/>
        <v>0.40092442796843214</v>
      </c>
      <c r="I110" s="61">
        <v>17958200</v>
      </c>
      <c r="J110" s="61"/>
      <c r="K110" s="61">
        <f>3124344.33+172066.04</f>
        <v>3296410.37</v>
      </c>
      <c r="L110" s="61">
        <f t="shared" si="22"/>
        <v>3296410.37</v>
      </c>
      <c r="M110" s="63">
        <f t="shared" si="20"/>
        <v>-3.957299490806252</v>
      </c>
      <c r="N110" s="61">
        <f>K110-I110</f>
        <v>-14661789.629999999</v>
      </c>
      <c r="O110" s="63">
        <f t="shared" si="14"/>
        <v>0.1835601769665111</v>
      </c>
      <c r="P110" s="61">
        <f t="shared" si="24"/>
        <v>259410.3700000001</v>
      </c>
      <c r="Q110" s="73"/>
    </row>
    <row r="111" spans="1:17" ht="36" customHeight="1" outlineLevel="2">
      <c r="A111" s="64" t="s">
        <v>199</v>
      </c>
      <c r="B111" s="65" t="s">
        <v>200</v>
      </c>
      <c r="C111" s="59" t="s">
        <v>201</v>
      </c>
      <c r="D111" s="60" t="s">
        <v>199</v>
      </c>
      <c r="E111" s="61">
        <v>11653423.9</v>
      </c>
      <c r="F111" s="61">
        <v>1962014.6</v>
      </c>
      <c r="G111" s="62">
        <f t="shared" si="25"/>
        <v>-9691409.3</v>
      </c>
      <c r="H111" s="63">
        <f t="shared" si="21"/>
        <v>0.1683637887745592</v>
      </c>
      <c r="I111" s="61">
        <v>5934300</v>
      </c>
      <c r="J111" s="61">
        <v>200000</v>
      </c>
      <c r="K111" s="61">
        <f>5177152.43+53150.7+302235.41</f>
        <v>5532538.54</v>
      </c>
      <c r="L111" s="61">
        <f t="shared" si="22"/>
        <v>5332538.54</v>
      </c>
      <c r="M111" s="63">
        <f t="shared" si="20"/>
        <v>-0.6123258048754581</v>
      </c>
      <c r="N111" s="61">
        <f>K111-I111</f>
        <v>-401761.45999999996</v>
      </c>
      <c r="O111" s="63">
        <f t="shared" si="14"/>
        <v>0.932298424414</v>
      </c>
      <c r="P111" s="61">
        <f t="shared" si="24"/>
        <v>3570523.94</v>
      </c>
      <c r="Q111" s="66"/>
    </row>
    <row r="112" spans="1:17" s="32" customFormat="1" ht="69" customHeight="1" outlineLevel="1">
      <c r="A112" s="24" t="s">
        <v>202</v>
      </c>
      <c r="B112" s="48" t="s">
        <v>203</v>
      </c>
      <c r="C112" s="49" t="s">
        <v>204</v>
      </c>
      <c r="D112" s="50" t="s">
        <v>202</v>
      </c>
      <c r="E112" s="51">
        <v>1668058.37</v>
      </c>
      <c r="F112" s="51">
        <v>458913.92</v>
      </c>
      <c r="G112" s="58">
        <f t="shared" si="25"/>
        <v>-1209144.4500000002</v>
      </c>
      <c r="H112" s="54">
        <f t="shared" si="21"/>
        <v>0.2751186218981054</v>
      </c>
      <c r="I112" s="51">
        <v>164894.64</v>
      </c>
      <c r="J112" s="51">
        <v>35150</v>
      </c>
      <c r="K112" s="51">
        <f>24186040.25+2491.26+3678.68+2012.18+16579.11</f>
        <v>24210801.48</v>
      </c>
      <c r="L112" s="51">
        <f t="shared" si="22"/>
        <v>24175651.48</v>
      </c>
      <c r="M112" s="54">
        <f t="shared" si="20"/>
        <v>-0.1363729867014648</v>
      </c>
      <c r="N112" s="51">
        <f>K112-I112</f>
        <v>24045906.84</v>
      </c>
      <c r="O112" s="54">
        <f t="shared" si="14"/>
        <v>146.82588518341166</v>
      </c>
      <c r="P112" s="51">
        <f t="shared" si="24"/>
        <v>23751887.56</v>
      </c>
      <c r="Q112" s="74" t="s">
        <v>258</v>
      </c>
    </row>
    <row r="113" spans="1:17" s="32" customFormat="1" ht="30.75" customHeight="1" outlineLevel="1">
      <c r="A113" s="24" t="s">
        <v>205</v>
      </c>
      <c r="B113" s="48" t="s">
        <v>206</v>
      </c>
      <c r="C113" s="49" t="s">
        <v>207</v>
      </c>
      <c r="D113" s="50" t="s">
        <v>205</v>
      </c>
      <c r="E113" s="51">
        <f>E114+E115+E116+E117+E118+E119+E120</f>
        <v>7747287.5</v>
      </c>
      <c r="F113" s="51">
        <f>F114+F115+F116+F117+F118+F119+F120</f>
        <v>2614610.94</v>
      </c>
      <c r="G113" s="58">
        <f>G114+G115+G116+G117+G118+G119</f>
        <v>-4921083.5600000005</v>
      </c>
      <c r="H113" s="75">
        <f t="shared" si="21"/>
        <v>0.3374872740943201</v>
      </c>
      <c r="I113" s="51">
        <f>I114+I115+I116+I117+I118+I119+I120</f>
        <v>7004782.08</v>
      </c>
      <c r="J113" s="51">
        <f>J114+J115+J116+J117+J118+J119+J120</f>
        <v>918137.48</v>
      </c>
      <c r="K113" s="51">
        <f>K114+K115+K116+K117+K118+K119+K120</f>
        <v>3044134.6</v>
      </c>
      <c r="L113" s="51">
        <f>L114+L115+L116+L117+L118+L119+L120</f>
        <v>2125997.12</v>
      </c>
      <c r="M113" s="51" t="e">
        <f>M114+M115+M116+M117+M118+M119+M120</f>
        <v>#DIV/0!</v>
      </c>
      <c r="N113" s="51">
        <f>N114+N115+N116+N117+N118+N119+N120</f>
        <v>-3960647.4799999995</v>
      </c>
      <c r="O113" s="54">
        <f t="shared" si="14"/>
        <v>0.4345794865898241</v>
      </c>
      <c r="P113" s="51">
        <f t="shared" si="24"/>
        <v>429523.66000000015</v>
      </c>
      <c r="Q113" s="56"/>
    </row>
    <row r="114" spans="1:17" s="4" customFormat="1" ht="72" customHeight="1" outlineLevel="1">
      <c r="A114" s="76"/>
      <c r="B114" s="77" t="s">
        <v>208</v>
      </c>
      <c r="C114" s="59" t="s">
        <v>209</v>
      </c>
      <c r="D114" s="60" t="s">
        <v>210</v>
      </c>
      <c r="E114" s="78">
        <v>0</v>
      </c>
      <c r="F114" s="79"/>
      <c r="G114" s="62"/>
      <c r="H114" s="63"/>
      <c r="I114" s="79"/>
      <c r="J114" s="79"/>
      <c r="K114" s="79"/>
      <c r="L114" s="61">
        <f t="shared" si="22"/>
        <v>0</v>
      </c>
      <c r="M114" s="63"/>
      <c r="N114" s="61">
        <f aca="true" t="shared" si="26" ref="N114:N120">K114-I114</f>
        <v>0</v>
      </c>
      <c r="O114" s="63"/>
      <c r="P114" s="61">
        <f t="shared" si="24"/>
        <v>0</v>
      </c>
      <c r="Q114" s="80"/>
    </row>
    <row r="115" spans="1:17" ht="94.5" customHeight="1" outlineLevel="5">
      <c r="A115" s="64" t="s">
        <v>211</v>
      </c>
      <c r="B115" s="65" t="s">
        <v>212</v>
      </c>
      <c r="C115" s="59" t="s">
        <v>213</v>
      </c>
      <c r="D115" s="60" t="s">
        <v>211</v>
      </c>
      <c r="E115" s="61">
        <v>898909.4</v>
      </c>
      <c r="F115" s="61">
        <v>65794</v>
      </c>
      <c r="G115" s="62">
        <f t="shared" si="25"/>
        <v>-833115.4</v>
      </c>
      <c r="H115" s="63">
        <f t="shared" si="21"/>
        <v>0.07319313826287721</v>
      </c>
      <c r="I115" s="61">
        <v>936864.56</v>
      </c>
      <c r="J115" s="61"/>
      <c r="K115" s="61">
        <f>254700+98691</f>
        <v>353391</v>
      </c>
      <c r="L115" s="61">
        <f t="shared" si="22"/>
        <v>353391</v>
      </c>
      <c r="M115" s="63">
        <f>I115/G115</f>
        <v>-1.1245315594934389</v>
      </c>
      <c r="N115" s="61">
        <f t="shared" si="26"/>
        <v>-583473.56</v>
      </c>
      <c r="O115" s="63">
        <f t="shared" si="14"/>
        <v>0.3772060712809971</v>
      </c>
      <c r="P115" s="61">
        <f t="shared" si="24"/>
        <v>287597</v>
      </c>
      <c r="Q115" s="66" t="s">
        <v>259</v>
      </c>
    </row>
    <row r="116" spans="1:17" ht="61.5" customHeight="1" outlineLevel="5">
      <c r="A116" s="64" t="s">
        <v>214</v>
      </c>
      <c r="B116" s="65" t="s">
        <v>215</v>
      </c>
      <c r="C116" s="59" t="s">
        <v>216</v>
      </c>
      <c r="D116" s="60" t="s">
        <v>214</v>
      </c>
      <c r="E116" s="61">
        <v>91219.38</v>
      </c>
      <c r="F116" s="61">
        <v>11943.01</v>
      </c>
      <c r="G116" s="62">
        <f t="shared" si="25"/>
        <v>-79276.37000000001</v>
      </c>
      <c r="H116" s="63">
        <f t="shared" si="21"/>
        <v>0.13092623519256544</v>
      </c>
      <c r="I116" s="61">
        <v>33077</v>
      </c>
      <c r="J116" s="61">
        <v>4255</v>
      </c>
      <c r="K116" s="61"/>
      <c r="L116" s="61">
        <f t="shared" si="22"/>
        <v>-4255</v>
      </c>
      <c r="M116" s="63">
        <f>I116/G116</f>
        <v>-0.4172365611593971</v>
      </c>
      <c r="N116" s="61">
        <f t="shared" si="26"/>
        <v>-33077</v>
      </c>
      <c r="O116" s="63">
        <f t="shared" si="14"/>
        <v>0</v>
      </c>
      <c r="P116" s="61">
        <f t="shared" si="24"/>
        <v>-11943.01</v>
      </c>
      <c r="Q116" s="66"/>
    </row>
    <row r="117" spans="1:17" ht="79.5" customHeight="1" outlineLevel="5">
      <c r="A117" s="64" t="s">
        <v>217</v>
      </c>
      <c r="B117" s="65" t="s">
        <v>218</v>
      </c>
      <c r="C117" s="59" t="s">
        <v>219</v>
      </c>
      <c r="D117" s="60" t="s">
        <v>217</v>
      </c>
      <c r="E117" s="61">
        <v>0</v>
      </c>
      <c r="F117" s="61"/>
      <c r="G117" s="62">
        <f t="shared" si="25"/>
        <v>0</v>
      </c>
      <c r="H117" s="63" t="e">
        <f t="shared" si="21"/>
        <v>#DIV/0!</v>
      </c>
      <c r="I117" s="61"/>
      <c r="J117" s="61"/>
      <c r="K117" s="61"/>
      <c r="L117" s="61">
        <f t="shared" si="22"/>
        <v>0</v>
      </c>
      <c r="M117" s="63"/>
      <c r="N117" s="61">
        <f t="shared" si="26"/>
        <v>0</v>
      </c>
      <c r="O117" s="63"/>
      <c r="P117" s="61">
        <f t="shared" si="24"/>
        <v>0</v>
      </c>
      <c r="Q117" s="66"/>
    </row>
    <row r="118" spans="1:17" ht="45" customHeight="1" hidden="1" outlineLevel="5">
      <c r="A118" s="64" t="s">
        <v>220</v>
      </c>
      <c r="B118" s="65"/>
      <c r="C118" s="59" t="s">
        <v>221</v>
      </c>
      <c r="D118" s="60" t="s">
        <v>220</v>
      </c>
      <c r="E118" s="61"/>
      <c r="F118" s="61"/>
      <c r="G118" s="62">
        <f t="shared" si="25"/>
        <v>0</v>
      </c>
      <c r="H118" s="63" t="e">
        <f t="shared" si="21"/>
        <v>#DIV/0!</v>
      </c>
      <c r="I118" s="61"/>
      <c r="J118" s="61"/>
      <c r="K118" s="61"/>
      <c r="L118" s="61">
        <f t="shared" si="22"/>
        <v>0</v>
      </c>
      <c r="M118" s="63" t="e">
        <f aca="true" t="shared" si="27" ref="M118:M127">I118/G118</f>
        <v>#DIV/0!</v>
      </c>
      <c r="N118" s="61">
        <f t="shared" si="26"/>
        <v>0</v>
      </c>
      <c r="O118" s="63" t="e">
        <f t="shared" si="14"/>
        <v>#DIV/0!</v>
      </c>
      <c r="P118" s="61">
        <f t="shared" si="24"/>
        <v>0</v>
      </c>
      <c r="Q118" s="81" t="s">
        <v>222</v>
      </c>
    </row>
    <row r="119" spans="1:17" ht="117" customHeight="1" outlineLevel="5">
      <c r="A119" s="64" t="s">
        <v>223</v>
      </c>
      <c r="B119" s="82" t="s">
        <v>224</v>
      </c>
      <c r="C119" s="83" t="s">
        <v>225</v>
      </c>
      <c r="D119" s="84" t="s">
        <v>223</v>
      </c>
      <c r="E119" s="85">
        <v>5165454.72</v>
      </c>
      <c r="F119" s="85">
        <v>1156762.93</v>
      </c>
      <c r="G119" s="86">
        <f t="shared" si="25"/>
        <v>-4008691.79</v>
      </c>
      <c r="H119" s="87">
        <f t="shared" si="21"/>
        <v>0.22394212953240253</v>
      </c>
      <c r="I119" s="85">
        <v>4745840.52</v>
      </c>
      <c r="J119" s="85">
        <v>913882.48</v>
      </c>
      <c r="K119" s="85">
        <f>1372345.49+710+28688.11</f>
        <v>1401743.6</v>
      </c>
      <c r="L119" s="85">
        <f t="shared" si="22"/>
        <v>487861.1200000001</v>
      </c>
      <c r="M119" s="87">
        <f t="shared" si="27"/>
        <v>-1.1838876043897602</v>
      </c>
      <c r="N119" s="85">
        <f t="shared" si="26"/>
        <v>-3344096.9199999995</v>
      </c>
      <c r="O119" s="87">
        <f t="shared" si="14"/>
        <v>0.29536255887502944</v>
      </c>
      <c r="P119" s="85">
        <f t="shared" si="24"/>
        <v>244980.67000000016</v>
      </c>
      <c r="Q119" s="88"/>
    </row>
    <row r="120" spans="1:17" ht="47.25" customHeight="1" outlineLevel="5" thickBot="1">
      <c r="A120" s="64"/>
      <c r="B120" s="65" t="s">
        <v>226</v>
      </c>
      <c r="C120" s="89" t="s">
        <v>227</v>
      </c>
      <c r="D120" s="90"/>
      <c r="E120" s="91">
        <v>1591704</v>
      </c>
      <c r="F120" s="91">
        <v>1380111</v>
      </c>
      <c r="G120" s="92">
        <f t="shared" si="25"/>
        <v>-211593</v>
      </c>
      <c r="H120" s="93">
        <f t="shared" si="21"/>
        <v>0.8670651075828169</v>
      </c>
      <c r="I120" s="91">
        <v>1289000</v>
      </c>
      <c r="J120" s="91"/>
      <c r="K120" s="91">
        <v>1289000</v>
      </c>
      <c r="L120" s="85">
        <f t="shared" si="22"/>
        <v>1289000</v>
      </c>
      <c r="M120" s="93">
        <f t="shared" si="27"/>
        <v>-6.091883947011479</v>
      </c>
      <c r="N120" s="85">
        <f t="shared" si="26"/>
        <v>0</v>
      </c>
      <c r="O120" s="93"/>
      <c r="P120" s="85">
        <f t="shared" si="24"/>
        <v>-91111</v>
      </c>
      <c r="Q120" s="94" t="s">
        <v>269</v>
      </c>
    </row>
    <row r="121" spans="1:17" s="16" customFormat="1" ht="31.5" customHeight="1" thickBot="1">
      <c r="A121" s="9" t="s">
        <v>228</v>
      </c>
      <c r="B121" s="10" t="s">
        <v>226</v>
      </c>
      <c r="C121" s="95" t="s">
        <v>229</v>
      </c>
      <c r="D121" s="96" t="s">
        <v>228</v>
      </c>
      <c r="E121" s="99">
        <f>E122+E126+E127+E128+E129+E130</f>
        <v>3087425772.07</v>
      </c>
      <c r="F121" s="99">
        <f>F122+F126+F127+F128+F129+F130</f>
        <v>281978056.74999994</v>
      </c>
      <c r="G121" s="97">
        <f t="shared" si="25"/>
        <v>-2805447715.32</v>
      </c>
      <c r="H121" s="98">
        <f t="shared" si="21"/>
        <v>0.09133112099435009</v>
      </c>
      <c r="I121" s="99">
        <f>I122+I126+I127+I128+I129+I130</f>
        <v>2487610806.9800005</v>
      </c>
      <c r="J121" s="100" t="s">
        <v>230</v>
      </c>
      <c r="K121" s="99">
        <f>K122+K126+K127+K128+K129+K130</f>
        <v>344279987.71000004</v>
      </c>
      <c r="L121" s="100" t="s">
        <v>230</v>
      </c>
      <c r="M121" s="98">
        <f t="shared" si="27"/>
        <v>-0.8867072422685497</v>
      </c>
      <c r="N121" s="99">
        <f>N122+N126+N127+N130</f>
        <v>-2048659864.3500001</v>
      </c>
      <c r="O121" s="98">
        <f t="shared" si="14"/>
        <v>0.13839785015565256</v>
      </c>
      <c r="P121" s="99">
        <f t="shared" si="24"/>
        <v>62301930.9600001</v>
      </c>
      <c r="Q121" s="101"/>
    </row>
    <row r="122" spans="1:17" ht="86.25" customHeight="1" outlineLevel="2">
      <c r="A122" s="64" t="s">
        <v>231</v>
      </c>
      <c r="B122" s="65" t="s">
        <v>232</v>
      </c>
      <c r="C122" s="102" t="s">
        <v>233</v>
      </c>
      <c r="D122" s="103" t="s">
        <v>231</v>
      </c>
      <c r="E122" s="104">
        <v>473098326.55</v>
      </c>
      <c r="F122" s="104">
        <v>109911521.77</v>
      </c>
      <c r="G122" s="105">
        <f t="shared" si="25"/>
        <v>-363186804.78000003</v>
      </c>
      <c r="H122" s="106">
        <f t="shared" si="21"/>
        <v>0.232322787044109</v>
      </c>
      <c r="I122" s="104">
        <v>497698288.62</v>
      </c>
      <c r="J122" s="107" t="s">
        <v>230</v>
      </c>
      <c r="K122" s="104">
        <v>124424575.62</v>
      </c>
      <c r="L122" s="107" t="s">
        <v>230</v>
      </c>
      <c r="M122" s="106">
        <f t="shared" si="27"/>
        <v>-1.3703644572700822</v>
      </c>
      <c r="N122" s="85">
        <f aca="true" t="shared" si="28" ref="N122:N129">K122-I122</f>
        <v>-373273713</v>
      </c>
      <c r="O122" s="106">
        <f t="shared" si="14"/>
        <v>0.25000000696204927</v>
      </c>
      <c r="P122" s="104">
        <f t="shared" si="24"/>
        <v>14513053.850000009</v>
      </c>
      <c r="Q122" s="108"/>
    </row>
    <row r="123" spans="1:17" ht="42.75" customHeight="1" hidden="1" outlineLevel="3">
      <c r="A123" s="64" t="s">
        <v>234</v>
      </c>
      <c r="B123" s="65"/>
      <c r="C123" s="59" t="s">
        <v>235</v>
      </c>
      <c r="D123" s="60" t="s">
        <v>234</v>
      </c>
      <c r="E123" s="61"/>
      <c r="F123" s="61"/>
      <c r="G123" s="105">
        <f t="shared" si="25"/>
        <v>0</v>
      </c>
      <c r="H123" s="106" t="e">
        <f t="shared" si="21"/>
        <v>#DIV/0!</v>
      </c>
      <c r="I123" s="61"/>
      <c r="J123" s="61"/>
      <c r="K123" s="61"/>
      <c r="L123" s="61"/>
      <c r="M123" s="106" t="e">
        <f t="shared" si="27"/>
        <v>#DIV/0!</v>
      </c>
      <c r="N123" s="85">
        <f t="shared" si="28"/>
        <v>0</v>
      </c>
      <c r="O123" s="106" t="e">
        <f t="shared" si="14"/>
        <v>#DIV/0!</v>
      </c>
      <c r="P123" s="104">
        <f t="shared" si="24"/>
        <v>0</v>
      </c>
      <c r="Q123" s="109"/>
    </row>
    <row r="124" spans="1:17" ht="71.25" customHeight="1" hidden="1" outlineLevel="4">
      <c r="A124" s="64" t="s">
        <v>236</v>
      </c>
      <c r="B124" s="65"/>
      <c r="C124" s="59" t="s">
        <v>237</v>
      </c>
      <c r="D124" s="60" t="s">
        <v>236</v>
      </c>
      <c r="E124" s="61"/>
      <c r="F124" s="61"/>
      <c r="G124" s="105">
        <f t="shared" si="25"/>
        <v>0</v>
      </c>
      <c r="H124" s="106" t="e">
        <f t="shared" si="21"/>
        <v>#DIV/0!</v>
      </c>
      <c r="I124" s="61"/>
      <c r="J124" s="61"/>
      <c r="K124" s="61"/>
      <c r="L124" s="61"/>
      <c r="M124" s="106" t="e">
        <f t="shared" si="27"/>
        <v>#DIV/0!</v>
      </c>
      <c r="N124" s="85">
        <f t="shared" si="28"/>
        <v>0</v>
      </c>
      <c r="O124" s="106" t="e">
        <f t="shared" si="14"/>
        <v>#DIV/0!</v>
      </c>
      <c r="P124" s="104">
        <f t="shared" si="24"/>
        <v>0</v>
      </c>
      <c r="Q124" s="109"/>
    </row>
    <row r="125" spans="1:17" ht="71.25" customHeight="1" hidden="1" outlineLevel="5">
      <c r="A125" s="64" t="s">
        <v>236</v>
      </c>
      <c r="B125" s="65"/>
      <c r="C125" s="59" t="s">
        <v>238</v>
      </c>
      <c r="D125" s="60" t="s">
        <v>236</v>
      </c>
      <c r="E125" s="61"/>
      <c r="F125" s="61"/>
      <c r="G125" s="105">
        <f t="shared" si="25"/>
        <v>0</v>
      </c>
      <c r="H125" s="106" t="e">
        <f t="shared" si="21"/>
        <v>#DIV/0!</v>
      </c>
      <c r="I125" s="61"/>
      <c r="J125" s="61"/>
      <c r="K125" s="61"/>
      <c r="L125" s="61"/>
      <c r="M125" s="106" t="e">
        <f t="shared" si="27"/>
        <v>#DIV/0!</v>
      </c>
      <c r="N125" s="85">
        <f t="shared" si="28"/>
        <v>0</v>
      </c>
      <c r="O125" s="106" t="e">
        <f t="shared" si="14"/>
        <v>#DIV/0!</v>
      </c>
      <c r="P125" s="104">
        <f t="shared" si="24"/>
        <v>0</v>
      </c>
      <c r="Q125" s="109"/>
    </row>
    <row r="126" spans="1:17" ht="21" customHeight="1" outlineLevel="2" collapsed="1">
      <c r="A126" s="64" t="s">
        <v>239</v>
      </c>
      <c r="B126" s="65" t="s">
        <v>240</v>
      </c>
      <c r="C126" s="59" t="s">
        <v>241</v>
      </c>
      <c r="D126" s="60" t="s">
        <v>242</v>
      </c>
      <c r="E126" s="110">
        <v>1985905932.37</v>
      </c>
      <c r="F126" s="110">
        <v>41139962.56</v>
      </c>
      <c r="G126" s="105">
        <f t="shared" si="25"/>
        <v>-1944765969.81</v>
      </c>
      <c r="H126" s="106">
        <f t="shared" si="21"/>
        <v>0.020715967402797957</v>
      </c>
      <c r="I126" s="61">
        <v>1318363941.72</v>
      </c>
      <c r="J126" s="107" t="s">
        <v>230</v>
      </c>
      <c r="K126" s="110">
        <v>68769612.48</v>
      </c>
      <c r="L126" s="107" t="s">
        <v>230</v>
      </c>
      <c r="M126" s="106">
        <f t="shared" si="27"/>
        <v>-0.6779036460869385</v>
      </c>
      <c r="N126" s="85">
        <f t="shared" si="28"/>
        <v>-1249594329.24</v>
      </c>
      <c r="O126" s="106">
        <f t="shared" si="14"/>
        <v>0.05216284388837267</v>
      </c>
      <c r="P126" s="104">
        <f t="shared" si="24"/>
        <v>27629649.92</v>
      </c>
      <c r="Q126" s="109"/>
    </row>
    <row r="127" spans="1:17" ht="22.5" customHeight="1" outlineLevel="5">
      <c r="A127" s="64" t="s">
        <v>243</v>
      </c>
      <c r="B127" s="65" t="s">
        <v>244</v>
      </c>
      <c r="C127" s="59" t="s">
        <v>245</v>
      </c>
      <c r="D127" s="60" t="s">
        <v>246</v>
      </c>
      <c r="E127" s="61">
        <v>520683169.05</v>
      </c>
      <c r="F127" s="61">
        <v>124766051.08</v>
      </c>
      <c r="G127" s="105">
        <f t="shared" si="25"/>
        <v>-395917117.97</v>
      </c>
      <c r="H127" s="106">
        <f t="shared" si="21"/>
        <v>0.23961990418787477</v>
      </c>
      <c r="I127" s="61">
        <v>569417931.96</v>
      </c>
      <c r="J127" s="107" t="s">
        <v>230</v>
      </c>
      <c r="K127" s="61">
        <v>143626109.84</v>
      </c>
      <c r="L127" s="107" t="s">
        <v>230</v>
      </c>
      <c r="M127" s="106">
        <f t="shared" si="27"/>
        <v>-1.4382250883204972</v>
      </c>
      <c r="N127" s="85">
        <f t="shared" si="28"/>
        <v>-425791822.12</v>
      </c>
      <c r="O127" s="106">
        <f t="shared" si="14"/>
        <v>0.2522332047844417</v>
      </c>
      <c r="P127" s="104">
        <f t="shared" si="24"/>
        <v>18860058.760000005</v>
      </c>
      <c r="Q127" s="109"/>
    </row>
    <row r="128" spans="1:17" ht="22.5" customHeight="1" outlineLevel="5">
      <c r="A128" s="64"/>
      <c r="B128" s="65" t="s">
        <v>247</v>
      </c>
      <c r="C128" s="59" t="s">
        <v>248</v>
      </c>
      <c r="D128" s="60"/>
      <c r="E128" s="61">
        <v>110208359.34</v>
      </c>
      <c r="F128" s="61">
        <v>6453851.26</v>
      </c>
      <c r="G128" s="105">
        <f t="shared" si="25"/>
        <v>-103754508.08</v>
      </c>
      <c r="H128" s="106">
        <f t="shared" si="21"/>
        <v>0.05856045130015452</v>
      </c>
      <c r="I128" s="61">
        <v>101193974.92</v>
      </c>
      <c r="J128" s="107" t="s">
        <v>230</v>
      </c>
      <c r="K128" s="61">
        <v>6972851</v>
      </c>
      <c r="L128" s="107" t="s">
        <v>230</v>
      </c>
      <c r="M128" s="106"/>
      <c r="N128" s="85">
        <f t="shared" si="28"/>
        <v>-94221123.92</v>
      </c>
      <c r="O128" s="106"/>
      <c r="P128" s="104">
        <f t="shared" si="24"/>
        <v>518999.7400000002</v>
      </c>
      <c r="Q128" s="109"/>
    </row>
    <row r="129" spans="1:17" ht="54" customHeight="1" outlineLevel="5">
      <c r="A129" s="64"/>
      <c r="B129" s="65" t="s">
        <v>249</v>
      </c>
      <c r="C129" s="59" t="s">
        <v>250</v>
      </c>
      <c r="D129" s="60"/>
      <c r="E129" s="85">
        <v>1669917.56</v>
      </c>
      <c r="F129" s="85"/>
      <c r="G129" s="105"/>
      <c r="H129" s="106"/>
      <c r="I129" s="61">
        <v>936811.59</v>
      </c>
      <c r="J129" s="107" t="s">
        <v>230</v>
      </c>
      <c r="K129" s="85">
        <v>486980.59</v>
      </c>
      <c r="L129" s="107" t="s">
        <v>230</v>
      </c>
      <c r="M129" s="106"/>
      <c r="N129" s="85">
        <f t="shared" si="28"/>
        <v>-449830.99999999994</v>
      </c>
      <c r="O129" s="106"/>
      <c r="P129" s="104">
        <f t="shared" si="24"/>
        <v>486980.59</v>
      </c>
      <c r="Q129" s="109"/>
    </row>
    <row r="130" spans="1:17" ht="40.5" customHeight="1" outlineLevel="1">
      <c r="A130" s="64" t="s">
        <v>251</v>
      </c>
      <c r="B130" s="65" t="s">
        <v>252</v>
      </c>
      <c r="C130" s="59" t="s">
        <v>253</v>
      </c>
      <c r="D130" s="60" t="s">
        <v>251</v>
      </c>
      <c r="E130" s="85">
        <v>-4139932.8</v>
      </c>
      <c r="F130" s="85">
        <v>-293329.92</v>
      </c>
      <c r="G130" s="105">
        <f t="shared" si="25"/>
        <v>3846602.88</v>
      </c>
      <c r="H130" s="106">
        <f t="shared" si="21"/>
        <v>0.0708537877716276</v>
      </c>
      <c r="I130" s="61">
        <v>-141.83</v>
      </c>
      <c r="J130" s="107" t="s">
        <v>230</v>
      </c>
      <c r="K130" s="85">
        <v>-141.82</v>
      </c>
      <c r="L130" s="107" t="s">
        <v>230</v>
      </c>
      <c r="M130" s="63"/>
      <c r="N130" s="85">
        <f>K130-I130</f>
        <v>0.010000000000019327</v>
      </c>
      <c r="O130" s="63"/>
      <c r="P130" s="104">
        <f t="shared" si="24"/>
        <v>293188.1</v>
      </c>
      <c r="Q130" s="109"/>
    </row>
    <row r="131" spans="1:17" s="118" customFormat="1" ht="23.25" customHeight="1">
      <c r="A131" s="506" t="s">
        <v>254</v>
      </c>
      <c r="B131" s="507"/>
      <c r="C131" s="508"/>
      <c r="D131" s="509"/>
      <c r="E131" s="115">
        <f>E121+E11</f>
        <v>3513539007.31</v>
      </c>
      <c r="F131" s="115">
        <f>F121+F11</f>
        <v>362099274.0899999</v>
      </c>
      <c r="G131" s="111">
        <f>F131-E131</f>
        <v>-3151439733.2200003</v>
      </c>
      <c r="H131" s="112">
        <f>F131/E131</f>
        <v>0.10305827638077844</v>
      </c>
      <c r="I131" s="113">
        <f>I121+I11</f>
        <v>2871660973.2200003</v>
      </c>
      <c r="J131" s="114" t="s">
        <v>230</v>
      </c>
      <c r="K131" s="115">
        <f>K121+K11</f>
        <v>432777995.18000007</v>
      </c>
      <c r="L131" s="114" t="s">
        <v>230</v>
      </c>
      <c r="M131" s="112">
        <f>I131/G131</f>
        <v>-0.9112219227768209</v>
      </c>
      <c r="N131" s="115">
        <f>N121+N11</f>
        <v>-2344212023.12</v>
      </c>
      <c r="O131" s="112">
        <f>K131/I131</f>
        <v>0.15070650721513448</v>
      </c>
      <c r="P131" s="116">
        <f>K131-F131</f>
        <v>70678721.09000015</v>
      </c>
      <c r="Q131" s="117"/>
    </row>
    <row r="132" spans="1:17" s="129" customFormat="1" ht="24.75" customHeight="1">
      <c r="A132" s="119"/>
      <c r="B132" s="120">
        <v>46</v>
      </c>
      <c r="C132" s="121" t="s">
        <v>255</v>
      </c>
      <c r="D132" s="122"/>
      <c r="E132" s="123">
        <v>39027</v>
      </c>
      <c r="F132" s="123">
        <v>53889.44</v>
      </c>
      <c r="G132" s="124"/>
      <c r="H132" s="125"/>
      <c r="I132" s="126"/>
      <c r="J132" s="126"/>
      <c r="K132" s="123">
        <f>-36722.41-6662.23-2304.59</f>
        <v>-45689.229999999996</v>
      </c>
      <c r="L132" s="126"/>
      <c r="M132" s="125"/>
      <c r="N132" s="123"/>
      <c r="O132" s="125"/>
      <c r="P132" s="127"/>
      <c r="Q132" s="128"/>
    </row>
    <row r="133" spans="1:17" s="118" customFormat="1" ht="26.25" customHeight="1" thickBot="1">
      <c r="A133" s="130"/>
      <c r="B133" s="131"/>
      <c r="C133" s="131"/>
      <c r="D133" s="131"/>
      <c r="E133" s="136">
        <f>E131++E132</f>
        <v>3513578034.31</v>
      </c>
      <c r="F133" s="136">
        <f>F131++F132</f>
        <v>362153163.5299999</v>
      </c>
      <c r="G133" s="132">
        <f>F133-E133</f>
        <v>-3151424870.78</v>
      </c>
      <c r="H133" s="133">
        <f>F133/E133</f>
        <v>0.10307246914500931</v>
      </c>
      <c r="I133" s="134">
        <f>I131++I132</f>
        <v>2871660973.2200003</v>
      </c>
      <c r="J133" s="135" t="s">
        <v>230</v>
      </c>
      <c r="K133" s="136">
        <f>K131++K132</f>
        <v>432732305.95000005</v>
      </c>
      <c r="L133" s="137" t="s">
        <v>230</v>
      </c>
      <c r="M133" s="133">
        <f>I133/G133</f>
        <v>-0.9112262201920249</v>
      </c>
      <c r="N133" s="136">
        <f>N131++N132</f>
        <v>-2344212023.12</v>
      </c>
      <c r="O133" s="133">
        <f>K133/I133</f>
        <v>0.1506905968307172</v>
      </c>
      <c r="P133" s="132">
        <f>K133-F133</f>
        <v>70579142.42000014</v>
      </c>
      <c r="Q133" s="138"/>
    </row>
    <row r="134" ht="15">
      <c r="E134" s="139"/>
    </row>
    <row r="137" ht="15">
      <c r="E137" s="139"/>
    </row>
  </sheetData>
  <sheetProtection/>
  <mergeCells count="26">
    <mergeCell ref="P7:P9"/>
    <mergeCell ref="M8:M9"/>
    <mergeCell ref="N8:N9"/>
    <mergeCell ref="O8:O9"/>
    <mergeCell ref="A1:D1"/>
    <mergeCell ref="A2:D2"/>
    <mergeCell ref="A3:D3"/>
    <mergeCell ref="A4:Q4"/>
    <mergeCell ref="A5:D5"/>
    <mergeCell ref="A6:Q6"/>
    <mergeCell ref="A131:D131"/>
    <mergeCell ref="Q7:Q9"/>
    <mergeCell ref="A8:A9"/>
    <mergeCell ref="E8:E9"/>
    <mergeCell ref="F8:F9"/>
    <mergeCell ref="G8:G9"/>
    <mergeCell ref="H8:H9"/>
    <mergeCell ref="I8:I9"/>
    <mergeCell ref="J8:J9"/>
    <mergeCell ref="K8:K9"/>
    <mergeCell ref="L8:L9"/>
    <mergeCell ref="B7:B9"/>
    <mergeCell ref="C7:C9"/>
    <mergeCell ref="D7:D9"/>
    <mergeCell ref="E7:H7"/>
    <mergeCell ref="I7:O7"/>
  </mergeCells>
  <printOptions horizontalCentered="1"/>
  <pageMargins left="0" right="0" top="0.1968503937007874" bottom="0" header="0.3937007874015748" footer="0.3937007874015748"/>
  <pageSetup blackAndWhite="1" errors="blank" fitToHeight="0" fitToWidth="1" horizontalDpi="600" verticalDpi="600" orientation="landscape" paperSize="9" scale="56" r:id="rId1"/>
</worksheet>
</file>

<file path=xl/worksheets/sheet16.xml><?xml version="1.0" encoding="utf-8"?>
<worksheet xmlns="http://schemas.openxmlformats.org/spreadsheetml/2006/main" xmlns:r="http://schemas.openxmlformats.org/officeDocument/2006/relationships">
  <sheetPr>
    <tabColor theme="0" tint="-0.04997999966144562"/>
    <pageSetUpPr fitToPage="1"/>
  </sheetPr>
  <dimension ref="A1:Q137"/>
  <sheetViews>
    <sheetView showGridLines="0" showZeros="0" view="pageBreakPreview" zoomScale="85" zoomScaleNormal="75" zoomScaleSheetLayoutView="85" zoomScalePageLayoutView="0" workbookViewId="0" topLeftCell="B1">
      <pane ySplit="9" topLeftCell="A107" activePane="bottomLeft" state="frozen"/>
      <selection pane="topLeft" activeCell="A1" sqref="A1"/>
      <selection pane="bottomLeft" activeCell="Q122" sqref="Q122"/>
    </sheetView>
  </sheetViews>
  <sheetFormatPr defaultColWidth="9.140625" defaultRowHeight="15" outlineLevelRow="5"/>
  <cols>
    <col min="1" max="1" width="9.140625" style="1" hidden="1" customWidth="1"/>
    <col min="2" max="2" width="5.28125" style="1" customWidth="1"/>
    <col min="3" max="3" width="27.421875" style="2" customWidth="1"/>
    <col min="4" max="4" width="18.00390625" style="1" hidden="1" customWidth="1"/>
    <col min="5" max="6" width="21.421875" style="1" bestFit="1" customWidth="1"/>
    <col min="7" max="7" width="20.57421875" style="1" customWidth="1"/>
    <col min="8" max="8" width="10.28125" style="1" customWidth="1"/>
    <col min="9" max="9" width="20.28125" style="1" customWidth="1"/>
    <col min="10" max="10" width="17.57421875" style="1" hidden="1" customWidth="1"/>
    <col min="11" max="11" width="21.421875" style="1" bestFit="1" customWidth="1"/>
    <col min="12" max="12" width="19.140625" style="1" hidden="1" customWidth="1"/>
    <col min="13" max="13" width="14.28125" style="1" hidden="1" customWidth="1"/>
    <col min="14" max="14" width="21.140625" style="1" customWidth="1"/>
    <col min="15" max="15" width="13.8515625" style="1" customWidth="1"/>
    <col min="16" max="16" width="19.28125" style="1" customWidth="1"/>
    <col min="17" max="17" width="50.28125" style="2" bestFit="1" customWidth="1"/>
    <col min="18" max="16384" width="9.140625" style="1" customWidth="1"/>
  </cols>
  <sheetData>
    <row r="1" spans="1:4" ht="13.5" customHeight="1">
      <c r="A1" s="535" t="s">
        <v>0</v>
      </c>
      <c r="B1" s="535"/>
      <c r="C1" s="536"/>
      <c r="D1" s="536"/>
    </row>
    <row r="2" spans="1:4" ht="15" customHeight="1" hidden="1">
      <c r="A2" s="535"/>
      <c r="B2" s="535"/>
      <c r="C2" s="536"/>
      <c r="D2" s="536"/>
    </row>
    <row r="3" spans="1:4" ht="15">
      <c r="A3" s="535"/>
      <c r="B3" s="535"/>
      <c r="C3" s="536"/>
      <c r="D3" s="536"/>
    </row>
    <row r="4" spans="1:17" ht="15" customHeight="1">
      <c r="A4" s="538" t="s">
        <v>264</v>
      </c>
      <c r="B4" s="538"/>
      <c r="C4" s="538"/>
      <c r="D4" s="538"/>
      <c r="E4" s="538"/>
      <c r="F4" s="538"/>
      <c r="G4" s="538"/>
      <c r="H4" s="538"/>
      <c r="I4" s="538"/>
      <c r="J4" s="538"/>
      <c r="K4" s="538"/>
      <c r="L4" s="538"/>
      <c r="M4" s="538"/>
      <c r="N4" s="538"/>
      <c r="O4" s="538"/>
      <c r="P4" s="538"/>
      <c r="Q4" s="538"/>
    </row>
    <row r="5" spans="1:4" ht="0.75" customHeight="1">
      <c r="A5" s="539"/>
      <c r="B5" s="539"/>
      <c r="C5" s="540"/>
      <c r="D5" s="540"/>
    </row>
    <row r="6" spans="1:17" ht="12.75" customHeight="1" thickBot="1">
      <c r="A6" s="541" t="s">
        <v>1</v>
      </c>
      <c r="B6" s="541"/>
      <c r="C6" s="541"/>
      <c r="D6" s="541"/>
      <c r="E6" s="541"/>
      <c r="F6" s="541"/>
      <c r="G6" s="541"/>
      <c r="H6" s="541"/>
      <c r="I6" s="541"/>
      <c r="J6" s="541"/>
      <c r="K6" s="541"/>
      <c r="L6" s="541"/>
      <c r="M6" s="541"/>
      <c r="N6" s="541"/>
      <c r="O6" s="541"/>
      <c r="P6" s="541"/>
      <c r="Q6" s="541"/>
    </row>
    <row r="7" spans="1:17" s="4" customFormat="1" ht="24" customHeight="1">
      <c r="A7" s="3"/>
      <c r="B7" s="524"/>
      <c r="C7" s="525" t="s">
        <v>2</v>
      </c>
      <c r="D7" s="527" t="s">
        <v>3</v>
      </c>
      <c r="E7" s="530">
        <v>2022</v>
      </c>
      <c r="F7" s="530"/>
      <c r="G7" s="530"/>
      <c r="H7" s="531"/>
      <c r="I7" s="532">
        <v>2023</v>
      </c>
      <c r="J7" s="530"/>
      <c r="K7" s="530"/>
      <c r="L7" s="530"/>
      <c r="M7" s="530"/>
      <c r="N7" s="530"/>
      <c r="O7" s="531"/>
      <c r="P7" s="533" t="s">
        <v>262</v>
      </c>
      <c r="Q7" s="510" t="s">
        <v>4</v>
      </c>
    </row>
    <row r="8" spans="1:17" s="4" customFormat="1" ht="24" customHeight="1">
      <c r="A8" s="512" t="s">
        <v>5</v>
      </c>
      <c r="B8" s="524"/>
      <c r="C8" s="526"/>
      <c r="D8" s="528"/>
      <c r="E8" s="514" t="s">
        <v>261</v>
      </c>
      <c r="F8" s="516" t="s">
        <v>265</v>
      </c>
      <c r="G8" s="514" t="s">
        <v>6</v>
      </c>
      <c r="H8" s="519" t="s">
        <v>7</v>
      </c>
      <c r="I8" s="516" t="s">
        <v>8</v>
      </c>
      <c r="J8" s="516" t="s">
        <v>9</v>
      </c>
      <c r="K8" s="516" t="s">
        <v>265</v>
      </c>
      <c r="L8" s="523" t="s">
        <v>10</v>
      </c>
      <c r="M8" s="516" t="s">
        <v>11</v>
      </c>
      <c r="N8" s="523" t="s">
        <v>12</v>
      </c>
      <c r="O8" s="516" t="s">
        <v>13</v>
      </c>
      <c r="P8" s="534"/>
      <c r="Q8" s="511"/>
    </row>
    <row r="9" spans="1:17" s="4" customFormat="1" ht="57.75" customHeight="1">
      <c r="A9" s="513"/>
      <c r="B9" s="524"/>
      <c r="C9" s="526"/>
      <c r="D9" s="529"/>
      <c r="E9" s="515"/>
      <c r="F9" s="517"/>
      <c r="G9" s="518"/>
      <c r="H9" s="520"/>
      <c r="I9" s="517"/>
      <c r="J9" s="517"/>
      <c r="K9" s="517"/>
      <c r="L9" s="518"/>
      <c r="M9" s="517"/>
      <c r="N9" s="518"/>
      <c r="O9" s="517"/>
      <c r="P9" s="534"/>
      <c r="Q9" s="511"/>
    </row>
    <row r="10" spans="1:17" s="4" customFormat="1" ht="21" customHeight="1">
      <c r="A10" s="147"/>
      <c r="B10" s="6"/>
      <c r="C10" s="7">
        <v>1</v>
      </c>
      <c r="D10" s="148">
        <v>2</v>
      </c>
      <c r="E10" s="148">
        <v>9</v>
      </c>
      <c r="F10" s="148">
        <v>9</v>
      </c>
      <c r="G10" s="148">
        <v>5</v>
      </c>
      <c r="H10" s="148">
        <v>6</v>
      </c>
      <c r="I10" s="148">
        <v>7</v>
      </c>
      <c r="J10" s="148">
        <v>8</v>
      </c>
      <c r="K10" s="148">
        <v>9</v>
      </c>
      <c r="L10" s="148">
        <v>10</v>
      </c>
      <c r="M10" s="148">
        <v>11</v>
      </c>
      <c r="N10" s="148">
        <v>12</v>
      </c>
      <c r="O10" s="148">
        <v>13</v>
      </c>
      <c r="P10" s="148">
        <v>14</v>
      </c>
      <c r="Q10" s="148">
        <v>15</v>
      </c>
    </row>
    <row r="11" spans="1:17" s="16" customFormat="1" ht="33" customHeight="1" thickBot="1">
      <c r="A11" s="9" t="s">
        <v>14</v>
      </c>
      <c r="B11" s="10" t="s">
        <v>15</v>
      </c>
      <c r="C11" s="11" t="s">
        <v>16</v>
      </c>
      <c r="D11" s="12" t="s">
        <v>14</v>
      </c>
      <c r="E11" s="13">
        <f>E12+E80</f>
        <v>426113235.23999995</v>
      </c>
      <c r="F11" s="13">
        <f>F12+F80</f>
        <v>47234379.86</v>
      </c>
      <c r="G11" s="13">
        <f>F11-E11</f>
        <v>-378878855.37999994</v>
      </c>
      <c r="H11" s="14">
        <f>F11/E11</f>
        <v>0.11084936104694368</v>
      </c>
      <c r="I11" s="13">
        <f>I12+I80</f>
        <v>397097978.61</v>
      </c>
      <c r="J11" s="13">
        <f>J12+J80</f>
        <v>16636685.38</v>
      </c>
      <c r="K11" s="13">
        <f>K12+K80</f>
        <v>19945708.740000002</v>
      </c>
      <c r="L11" s="13">
        <f>K11-J11</f>
        <v>3309023.3600000013</v>
      </c>
      <c r="M11" s="14">
        <f>K11/J11</f>
        <v>1.1988991968302765</v>
      </c>
      <c r="N11" s="13">
        <f>K11-I11</f>
        <v>-377152269.87</v>
      </c>
      <c r="O11" s="14">
        <f>K11/I11</f>
        <v>0.05022868363575627</v>
      </c>
      <c r="P11" s="13">
        <f>K11-F11</f>
        <v>-27288671.119999997</v>
      </c>
      <c r="Q11" s="15"/>
    </row>
    <row r="12" spans="1:17" s="16" customFormat="1" ht="33" customHeight="1">
      <c r="A12" s="9"/>
      <c r="B12" s="17" t="s">
        <v>17</v>
      </c>
      <c r="C12" s="18" t="s">
        <v>18</v>
      </c>
      <c r="D12" s="19"/>
      <c r="E12" s="20">
        <f>E13+E39+E40+E62+E66+E76</f>
        <v>352618682.34999996</v>
      </c>
      <c r="F12" s="20">
        <f>F13+F39+F40+F62+F66+F76</f>
        <v>39488230.91</v>
      </c>
      <c r="G12" s="20">
        <f>F12-E12</f>
        <v>-313130451.43999994</v>
      </c>
      <c r="H12" s="21">
        <f>F12/E12</f>
        <v>0.11198564593014111</v>
      </c>
      <c r="I12" s="20">
        <f>I13+I39+I40+I62+I66+I76</f>
        <v>336128470</v>
      </c>
      <c r="J12" s="20">
        <f>J13+J39+J40+J62+J66+J76</f>
        <v>14406368.9</v>
      </c>
      <c r="K12" s="20">
        <f>K13+K39+K40+K62+K66+K76</f>
        <v>7561093</v>
      </c>
      <c r="L12" s="22">
        <f>K12-J12</f>
        <v>-6845275.9</v>
      </c>
      <c r="M12" s="21">
        <f>I12/G12</f>
        <v>-1.073445487189887</v>
      </c>
      <c r="N12" s="22">
        <f>K12-I12</f>
        <v>-328567377</v>
      </c>
      <c r="O12" s="21">
        <f>K12/I12</f>
        <v>0.022494652119173363</v>
      </c>
      <c r="P12" s="20">
        <f>K12-F12</f>
        <v>-31927137.909999996</v>
      </c>
      <c r="Q12" s="23"/>
    </row>
    <row r="13" spans="1:17" s="32" customFormat="1" ht="52.5" customHeight="1" outlineLevel="2">
      <c r="A13" s="24" t="s">
        <v>19</v>
      </c>
      <c r="B13" s="25" t="s">
        <v>20</v>
      </c>
      <c r="C13" s="26" t="s">
        <v>21</v>
      </c>
      <c r="D13" s="27" t="s">
        <v>19</v>
      </c>
      <c r="E13" s="141">
        <v>190630093.23</v>
      </c>
      <c r="F13" s="141">
        <v>23619909.63</v>
      </c>
      <c r="G13" s="145">
        <f>F13-E13</f>
        <v>-167010183.6</v>
      </c>
      <c r="H13" s="29">
        <f>F13/E13</f>
        <v>0.12390441209878644</v>
      </c>
      <c r="I13" s="28">
        <v>179717500</v>
      </c>
      <c r="J13" s="30">
        <v>8290000</v>
      </c>
      <c r="K13" s="141">
        <v>6410159.34</v>
      </c>
      <c r="L13" s="28">
        <f>K13-J13</f>
        <v>-1879840.6600000001</v>
      </c>
      <c r="M13" s="29">
        <f>K13/J13</f>
        <v>0.7732399686369119</v>
      </c>
      <c r="N13" s="28">
        <f>K13-I13</f>
        <v>-173307340.66</v>
      </c>
      <c r="O13" s="29">
        <f aca="true" t="shared" si="0" ref="O13:O78">K13/I13</f>
        <v>0.035667975238916634</v>
      </c>
      <c r="P13" s="28">
        <f>K13-F13</f>
        <v>-17209750.29</v>
      </c>
      <c r="Q13" s="31" t="s">
        <v>266</v>
      </c>
    </row>
    <row r="14" spans="1:17" s="32" customFormat="1" ht="6.75" customHeight="1" outlineLevel="2">
      <c r="A14" s="24"/>
      <c r="B14" s="33"/>
      <c r="C14" s="34"/>
      <c r="D14" s="35"/>
      <c r="E14" s="42"/>
      <c r="F14" s="39"/>
      <c r="G14" s="146"/>
      <c r="H14" s="38"/>
      <c r="I14" s="36"/>
      <c r="J14" s="142"/>
      <c r="K14" s="142"/>
      <c r="L14" s="36"/>
      <c r="M14" s="38"/>
      <c r="N14" s="36"/>
      <c r="O14" s="38"/>
      <c r="P14" s="36"/>
      <c r="Q14" s="40"/>
    </row>
    <row r="15" spans="1:17" s="32" customFormat="1" ht="15.75" customHeight="1" hidden="1" outlineLevel="3">
      <c r="A15" s="24" t="s">
        <v>22</v>
      </c>
      <c r="B15" s="33"/>
      <c r="C15" s="41" t="s">
        <v>23</v>
      </c>
      <c r="D15" s="143" t="s">
        <v>22</v>
      </c>
      <c r="E15" s="51"/>
      <c r="F15" s="42"/>
      <c r="G15" s="43">
        <f aca="true" t="shared" si="1" ref="G15:G40">F15-E15</f>
        <v>0</v>
      </c>
      <c r="H15" s="44" t="e">
        <f aca="true" t="shared" si="2" ref="H15:H40">F15/E15</f>
        <v>#DIV/0!</v>
      </c>
      <c r="I15" s="42">
        <v>148555700</v>
      </c>
      <c r="J15" s="42"/>
      <c r="K15" s="42"/>
      <c r="L15" s="42"/>
      <c r="M15" s="45" t="e">
        <f aca="true" t="shared" si="3" ref="M15:M75">I15/G15</f>
        <v>#DIV/0!</v>
      </c>
      <c r="N15" s="42"/>
      <c r="O15" s="45">
        <f t="shared" si="0"/>
        <v>0</v>
      </c>
      <c r="P15" s="46">
        <f aca="true" t="shared" si="4" ref="P15:P40">K15-F15</f>
        <v>0</v>
      </c>
      <c r="Q15" s="47"/>
    </row>
    <row r="16" spans="1:17" s="32" customFormat="1" ht="210" customHeight="1" hidden="1" outlineLevel="4">
      <c r="A16" s="24" t="s">
        <v>24</v>
      </c>
      <c r="B16" s="48"/>
      <c r="C16" s="49" t="s">
        <v>25</v>
      </c>
      <c r="D16" s="144" t="s">
        <v>24</v>
      </c>
      <c r="E16" s="51"/>
      <c r="F16" s="51"/>
      <c r="G16" s="52">
        <f t="shared" si="1"/>
        <v>0</v>
      </c>
      <c r="H16" s="53" t="e">
        <f t="shared" si="2"/>
        <v>#DIV/0!</v>
      </c>
      <c r="I16" s="51">
        <v>148555700</v>
      </c>
      <c r="J16" s="51"/>
      <c r="K16" s="51"/>
      <c r="L16" s="51"/>
      <c r="M16" s="54" t="e">
        <f t="shared" si="3"/>
        <v>#DIV/0!</v>
      </c>
      <c r="N16" s="51"/>
      <c r="O16" s="54">
        <f t="shared" si="0"/>
        <v>0</v>
      </c>
      <c r="P16" s="55">
        <f t="shared" si="4"/>
        <v>0</v>
      </c>
      <c r="Q16" s="56"/>
    </row>
    <row r="17" spans="1:17" s="32" customFormat="1" ht="210" customHeight="1" hidden="1" outlineLevel="5">
      <c r="A17" s="24" t="s">
        <v>24</v>
      </c>
      <c r="B17" s="48"/>
      <c r="C17" s="49" t="s">
        <v>26</v>
      </c>
      <c r="D17" s="144" t="s">
        <v>24</v>
      </c>
      <c r="E17" s="51"/>
      <c r="F17" s="51"/>
      <c r="G17" s="52">
        <f t="shared" si="1"/>
        <v>0</v>
      </c>
      <c r="H17" s="53" t="e">
        <f t="shared" si="2"/>
        <v>#DIV/0!</v>
      </c>
      <c r="I17" s="51">
        <v>148555700</v>
      </c>
      <c r="J17" s="51"/>
      <c r="K17" s="51"/>
      <c r="L17" s="51"/>
      <c r="M17" s="54" t="e">
        <f t="shared" si="3"/>
        <v>#DIV/0!</v>
      </c>
      <c r="N17" s="51"/>
      <c r="O17" s="54">
        <f t="shared" si="0"/>
        <v>0</v>
      </c>
      <c r="P17" s="55">
        <f t="shared" si="4"/>
        <v>0</v>
      </c>
      <c r="Q17" s="56"/>
    </row>
    <row r="18" spans="1:17" s="32" customFormat="1" ht="210" customHeight="1" hidden="1" outlineLevel="5">
      <c r="A18" s="24" t="s">
        <v>27</v>
      </c>
      <c r="B18" s="48"/>
      <c r="C18" s="49" t="s">
        <v>28</v>
      </c>
      <c r="D18" s="144" t="s">
        <v>27</v>
      </c>
      <c r="E18" s="51"/>
      <c r="F18" s="51"/>
      <c r="G18" s="52">
        <f t="shared" si="1"/>
        <v>0</v>
      </c>
      <c r="H18" s="53" t="e">
        <f t="shared" si="2"/>
        <v>#DIV/0!</v>
      </c>
      <c r="I18" s="51">
        <v>0</v>
      </c>
      <c r="J18" s="51"/>
      <c r="K18" s="51"/>
      <c r="L18" s="51"/>
      <c r="M18" s="54" t="e">
        <f t="shared" si="3"/>
        <v>#DIV/0!</v>
      </c>
      <c r="N18" s="51"/>
      <c r="O18" s="54" t="e">
        <f t="shared" si="0"/>
        <v>#DIV/0!</v>
      </c>
      <c r="P18" s="55">
        <f t="shared" si="4"/>
        <v>0</v>
      </c>
      <c r="Q18" s="56"/>
    </row>
    <row r="19" spans="1:17" s="32" customFormat="1" ht="210" customHeight="1" hidden="1" outlineLevel="5">
      <c r="A19" s="24" t="s">
        <v>29</v>
      </c>
      <c r="B19" s="48"/>
      <c r="C19" s="49" t="s">
        <v>26</v>
      </c>
      <c r="D19" s="144" t="s">
        <v>29</v>
      </c>
      <c r="E19" s="51"/>
      <c r="F19" s="51"/>
      <c r="G19" s="52">
        <f t="shared" si="1"/>
        <v>0</v>
      </c>
      <c r="H19" s="53" t="e">
        <f t="shared" si="2"/>
        <v>#DIV/0!</v>
      </c>
      <c r="I19" s="51">
        <v>0</v>
      </c>
      <c r="J19" s="51"/>
      <c r="K19" s="51"/>
      <c r="L19" s="51"/>
      <c r="M19" s="54" t="e">
        <f t="shared" si="3"/>
        <v>#DIV/0!</v>
      </c>
      <c r="N19" s="51"/>
      <c r="O19" s="54" t="e">
        <f t="shared" si="0"/>
        <v>#DIV/0!</v>
      </c>
      <c r="P19" s="55">
        <f t="shared" si="4"/>
        <v>0</v>
      </c>
      <c r="Q19" s="56"/>
    </row>
    <row r="20" spans="1:17" s="32" customFormat="1" ht="210" customHeight="1" hidden="1" outlineLevel="5">
      <c r="A20" s="24" t="s">
        <v>30</v>
      </c>
      <c r="B20" s="48"/>
      <c r="C20" s="49" t="s">
        <v>26</v>
      </c>
      <c r="D20" s="144" t="s">
        <v>30</v>
      </c>
      <c r="E20" s="51"/>
      <c r="F20" s="51"/>
      <c r="G20" s="52">
        <f t="shared" si="1"/>
        <v>0</v>
      </c>
      <c r="H20" s="53" t="e">
        <f t="shared" si="2"/>
        <v>#DIV/0!</v>
      </c>
      <c r="I20" s="51">
        <v>0</v>
      </c>
      <c r="J20" s="51"/>
      <c r="K20" s="51"/>
      <c r="L20" s="51"/>
      <c r="M20" s="54" t="e">
        <f t="shared" si="3"/>
        <v>#DIV/0!</v>
      </c>
      <c r="N20" s="51"/>
      <c r="O20" s="54" t="e">
        <f t="shared" si="0"/>
        <v>#DIV/0!</v>
      </c>
      <c r="P20" s="55">
        <f t="shared" si="4"/>
        <v>0</v>
      </c>
      <c r="Q20" s="56"/>
    </row>
    <row r="21" spans="1:17" s="32" customFormat="1" ht="210" customHeight="1" hidden="1" outlineLevel="5">
      <c r="A21" s="24" t="s">
        <v>31</v>
      </c>
      <c r="B21" s="48"/>
      <c r="C21" s="49" t="s">
        <v>28</v>
      </c>
      <c r="D21" s="144" t="s">
        <v>31</v>
      </c>
      <c r="E21" s="51"/>
      <c r="F21" s="51"/>
      <c r="G21" s="52">
        <f t="shared" si="1"/>
        <v>0</v>
      </c>
      <c r="H21" s="53" t="e">
        <f t="shared" si="2"/>
        <v>#DIV/0!</v>
      </c>
      <c r="I21" s="51">
        <v>0</v>
      </c>
      <c r="J21" s="51"/>
      <c r="K21" s="51"/>
      <c r="L21" s="51"/>
      <c r="M21" s="54" t="e">
        <f t="shared" si="3"/>
        <v>#DIV/0!</v>
      </c>
      <c r="N21" s="51"/>
      <c r="O21" s="54" t="e">
        <f t="shared" si="0"/>
        <v>#DIV/0!</v>
      </c>
      <c r="P21" s="55">
        <f t="shared" si="4"/>
        <v>0</v>
      </c>
      <c r="Q21" s="56"/>
    </row>
    <row r="22" spans="1:17" s="32" customFormat="1" ht="15.75" customHeight="1" hidden="1" outlineLevel="3">
      <c r="A22" s="24" t="s">
        <v>32</v>
      </c>
      <c r="B22" s="48"/>
      <c r="C22" s="49" t="s">
        <v>23</v>
      </c>
      <c r="D22" s="144" t="s">
        <v>32</v>
      </c>
      <c r="E22" s="51"/>
      <c r="F22" s="51"/>
      <c r="G22" s="52">
        <f t="shared" si="1"/>
        <v>0</v>
      </c>
      <c r="H22" s="53" t="e">
        <f t="shared" si="2"/>
        <v>#DIV/0!</v>
      </c>
      <c r="I22" s="51">
        <v>750300</v>
      </c>
      <c r="J22" s="51"/>
      <c r="K22" s="51"/>
      <c r="L22" s="51"/>
      <c r="M22" s="54" t="e">
        <f t="shared" si="3"/>
        <v>#DIV/0!</v>
      </c>
      <c r="N22" s="51"/>
      <c r="O22" s="54">
        <f t="shared" si="0"/>
        <v>0</v>
      </c>
      <c r="P22" s="55">
        <f t="shared" si="4"/>
        <v>0</v>
      </c>
      <c r="Q22" s="56"/>
    </row>
    <row r="23" spans="1:17" s="32" customFormat="1" ht="330" customHeight="1" hidden="1" outlineLevel="4">
      <c r="A23" s="24" t="s">
        <v>33</v>
      </c>
      <c r="B23" s="48"/>
      <c r="C23" s="49" t="s">
        <v>34</v>
      </c>
      <c r="D23" s="144" t="s">
        <v>33</v>
      </c>
      <c r="E23" s="51"/>
      <c r="F23" s="51"/>
      <c r="G23" s="52">
        <f t="shared" si="1"/>
        <v>0</v>
      </c>
      <c r="H23" s="53" t="e">
        <f t="shared" si="2"/>
        <v>#DIV/0!</v>
      </c>
      <c r="I23" s="51">
        <v>750300</v>
      </c>
      <c r="J23" s="51"/>
      <c r="K23" s="51"/>
      <c r="L23" s="51"/>
      <c r="M23" s="54" t="e">
        <f t="shared" si="3"/>
        <v>#DIV/0!</v>
      </c>
      <c r="N23" s="51"/>
      <c r="O23" s="54">
        <f t="shared" si="0"/>
        <v>0</v>
      </c>
      <c r="P23" s="55">
        <f t="shared" si="4"/>
        <v>0</v>
      </c>
      <c r="Q23" s="56"/>
    </row>
    <row r="24" spans="1:17" s="32" customFormat="1" ht="330" customHeight="1" hidden="1" outlineLevel="5">
      <c r="A24" s="24" t="s">
        <v>33</v>
      </c>
      <c r="B24" s="48"/>
      <c r="C24" s="49" t="s">
        <v>35</v>
      </c>
      <c r="D24" s="144" t="s">
        <v>33</v>
      </c>
      <c r="E24" s="51"/>
      <c r="F24" s="51"/>
      <c r="G24" s="52">
        <f t="shared" si="1"/>
        <v>0</v>
      </c>
      <c r="H24" s="53" t="e">
        <f t="shared" si="2"/>
        <v>#DIV/0!</v>
      </c>
      <c r="I24" s="51">
        <v>750300</v>
      </c>
      <c r="J24" s="51"/>
      <c r="K24" s="51"/>
      <c r="L24" s="51"/>
      <c r="M24" s="54" t="e">
        <f t="shared" si="3"/>
        <v>#DIV/0!</v>
      </c>
      <c r="N24" s="51"/>
      <c r="O24" s="54">
        <f t="shared" si="0"/>
        <v>0</v>
      </c>
      <c r="P24" s="55">
        <f t="shared" si="4"/>
        <v>0</v>
      </c>
      <c r="Q24" s="56"/>
    </row>
    <row r="25" spans="1:17" s="32" customFormat="1" ht="330" customHeight="1" hidden="1" outlineLevel="5">
      <c r="A25" s="24" t="s">
        <v>36</v>
      </c>
      <c r="B25" s="48"/>
      <c r="C25" s="49" t="s">
        <v>35</v>
      </c>
      <c r="D25" s="144" t="s">
        <v>36</v>
      </c>
      <c r="E25" s="51"/>
      <c r="F25" s="51"/>
      <c r="G25" s="52">
        <f t="shared" si="1"/>
        <v>0</v>
      </c>
      <c r="H25" s="53" t="e">
        <f t="shared" si="2"/>
        <v>#DIV/0!</v>
      </c>
      <c r="I25" s="51">
        <v>0</v>
      </c>
      <c r="J25" s="51"/>
      <c r="K25" s="51"/>
      <c r="L25" s="51"/>
      <c r="M25" s="54" t="e">
        <f t="shared" si="3"/>
        <v>#DIV/0!</v>
      </c>
      <c r="N25" s="51"/>
      <c r="O25" s="54" t="e">
        <f t="shared" si="0"/>
        <v>#DIV/0!</v>
      </c>
      <c r="P25" s="55">
        <f t="shared" si="4"/>
        <v>0</v>
      </c>
      <c r="Q25" s="56"/>
    </row>
    <row r="26" spans="1:17" s="32" customFormat="1" ht="15.75" customHeight="1" hidden="1" outlineLevel="5">
      <c r="A26" s="24" t="s">
        <v>37</v>
      </c>
      <c r="B26" s="48"/>
      <c r="C26" s="49">
        <v>1.82101020200121E+19</v>
      </c>
      <c r="D26" s="144" t="s">
        <v>37</v>
      </c>
      <c r="E26" s="51"/>
      <c r="F26" s="51"/>
      <c r="G26" s="52">
        <f t="shared" si="1"/>
        <v>0</v>
      </c>
      <c r="H26" s="53" t="e">
        <f t="shared" si="2"/>
        <v>#DIV/0!</v>
      </c>
      <c r="I26" s="51">
        <v>0</v>
      </c>
      <c r="J26" s="51"/>
      <c r="K26" s="51"/>
      <c r="L26" s="51"/>
      <c r="M26" s="54" t="e">
        <f t="shared" si="3"/>
        <v>#DIV/0!</v>
      </c>
      <c r="N26" s="51"/>
      <c r="O26" s="54" t="e">
        <f t="shared" si="0"/>
        <v>#DIV/0!</v>
      </c>
      <c r="P26" s="55">
        <f t="shared" si="4"/>
        <v>0</v>
      </c>
      <c r="Q26" s="56"/>
    </row>
    <row r="27" spans="1:17" s="32" customFormat="1" ht="330" customHeight="1" hidden="1" outlineLevel="5">
      <c r="A27" s="24" t="s">
        <v>38</v>
      </c>
      <c r="B27" s="48"/>
      <c r="C27" s="49" t="s">
        <v>35</v>
      </c>
      <c r="D27" s="144" t="s">
        <v>38</v>
      </c>
      <c r="E27" s="51"/>
      <c r="F27" s="51"/>
      <c r="G27" s="52">
        <f t="shared" si="1"/>
        <v>0</v>
      </c>
      <c r="H27" s="53" t="e">
        <f t="shared" si="2"/>
        <v>#DIV/0!</v>
      </c>
      <c r="I27" s="51">
        <v>0</v>
      </c>
      <c r="J27" s="51"/>
      <c r="K27" s="51"/>
      <c r="L27" s="51"/>
      <c r="M27" s="54" t="e">
        <f t="shared" si="3"/>
        <v>#DIV/0!</v>
      </c>
      <c r="N27" s="51"/>
      <c r="O27" s="54" t="e">
        <f t="shared" si="0"/>
        <v>#DIV/0!</v>
      </c>
      <c r="P27" s="55">
        <f t="shared" si="4"/>
        <v>0</v>
      </c>
      <c r="Q27" s="56"/>
    </row>
    <row r="28" spans="1:17" s="32" customFormat="1" ht="15.75" customHeight="1" hidden="1" outlineLevel="3">
      <c r="A28" s="24" t="s">
        <v>39</v>
      </c>
      <c r="B28" s="48"/>
      <c r="C28" s="49" t="s">
        <v>23</v>
      </c>
      <c r="D28" s="144" t="s">
        <v>39</v>
      </c>
      <c r="E28" s="51"/>
      <c r="F28" s="51"/>
      <c r="G28" s="52">
        <f t="shared" si="1"/>
        <v>0</v>
      </c>
      <c r="H28" s="53" t="e">
        <f t="shared" si="2"/>
        <v>#DIV/0!</v>
      </c>
      <c r="I28" s="51">
        <v>450200</v>
      </c>
      <c r="J28" s="51"/>
      <c r="K28" s="51"/>
      <c r="L28" s="51"/>
      <c r="M28" s="54" t="e">
        <f t="shared" si="3"/>
        <v>#DIV/0!</v>
      </c>
      <c r="N28" s="51"/>
      <c r="O28" s="54">
        <f t="shared" si="0"/>
        <v>0</v>
      </c>
      <c r="P28" s="55">
        <f t="shared" si="4"/>
        <v>0</v>
      </c>
      <c r="Q28" s="56"/>
    </row>
    <row r="29" spans="1:17" s="32" customFormat="1" ht="120" customHeight="1" hidden="1" outlineLevel="4">
      <c r="A29" s="24" t="s">
        <v>40</v>
      </c>
      <c r="B29" s="48"/>
      <c r="C29" s="49" t="s">
        <v>41</v>
      </c>
      <c r="D29" s="144" t="s">
        <v>40</v>
      </c>
      <c r="E29" s="51"/>
      <c r="F29" s="51"/>
      <c r="G29" s="52">
        <f t="shared" si="1"/>
        <v>0</v>
      </c>
      <c r="H29" s="53" t="e">
        <f t="shared" si="2"/>
        <v>#DIV/0!</v>
      </c>
      <c r="I29" s="51">
        <v>450200</v>
      </c>
      <c r="J29" s="51"/>
      <c r="K29" s="51"/>
      <c r="L29" s="51"/>
      <c r="M29" s="54" t="e">
        <f t="shared" si="3"/>
        <v>#DIV/0!</v>
      </c>
      <c r="N29" s="51"/>
      <c r="O29" s="54">
        <f t="shared" si="0"/>
        <v>0</v>
      </c>
      <c r="P29" s="55">
        <f t="shared" si="4"/>
        <v>0</v>
      </c>
      <c r="Q29" s="56"/>
    </row>
    <row r="30" spans="1:17" s="32" customFormat="1" ht="120" customHeight="1" hidden="1" outlineLevel="5">
      <c r="A30" s="24" t="s">
        <v>40</v>
      </c>
      <c r="B30" s="48"/>
      <c r="C30" s="49" t="s">
        <v>42</v>
      </c>
      <c r="D30" s="144" t="s">
        <v>40</v>
      </c>
      <c r="E30" s="51"/>
      <c r="F30" s="51"/>
      <c r="G30" s="52">
        <f t="shared" si="1"/>
        <v>0</v>
      </c>
      <c r="H30" s="53" t="e">
        <f t="shared" si="2"/>
        <v>#DIV/0!</v>
      </c>
      <c r="I30" s="51">
        <v>450200</v>
      </c>
      <c r="J30" s="51"/>
      <c r="K30" s="51"/>
      <c r="L30" s="51"/>
      <c r="M30" s="54" t="e">
        <f t="shared" si="3"/>
        <v>#DIV/0!</v>
      </c>
      <c r="N30" s="51"/>
      <c r="O30" s="54">
        <f t="shared" si="0"/>
        <v>0</v>
      </c>
      <c r="P30" s="55">
        <f t="shared" si="4"/>
        <v>0</v>
      </c>
      <c r="Q30" s="56"/>
    </row>
    <row r="31" spans="1:17" s="32" customFormat="1" ht="120" customHeight="1" hidden="1" outlineLevel="5">
      <c r="A31" s="24" t="s">
        <v>43</v>
      </c>
      <c r="B31" s="48"/>
      <c r="C31" s="49" t="s">
        <v>44</v>
      </c>
      <c r="D31" s="144" t="s">
        <v>43</v>
      </c>
      <c r="E31" s="51"/>
      <c r="F31" s="51"/>
      <c r="G31" s="52">
        <f t="shared" si="1"/>
        <v>0</v>
      </c>
      <c r="H31" s="53" t="e">
        <f t="shared" si="2"/>
        <v>#DIV/0!</v>
      </c>
      <c r="I31" s="51">
        <v>0</v>
      </c>
      <c r="J31" s="51"/>
      <c r="K31" s="51"/>
      <c r="L31" s="51"/>
      <c r="M31" s="54" t="e">
        <f t="shared" si="3"/>
        <v>#DIV/0!</v>
      </c>
      <c r="N31" s="51"/>
      <c r="O31" s="54" t="e">
        <f t="shared" si="0"/>
        <v>#DIV/0!</v>
      </c>
      <c r="P31" s="55">
        <f t="shared" si="4"/>
        <v>0</v>
      </c>
      <c r="Q31" s="56"/>
    </row>
    <row r="32" spans="1:17" s="32" customFormat="1" ht="15.75" customHeight="1" hidden="1" outlineLevel="5">
      <c r="A32" s="24" t="s">
        <v>45</v>
      </c>
      <c r="B32" s="48"/>
      <c r="C32" s="49">
        <v>1.82101020300121E+19</v>
      </c>
      <c r="D32" s="144" t="s">
        <v>45</v>
      </c>
      <c r="E32" s="51"/>
      <c r="F32" s="51"/>
      <c r="G32" s="52">
        <f t="shared" si="1"/>
        <v>0</v>
      </c>
      <c r="H32" s="53" t="e">
        <f t="shared" si="2"/>
        <v>#DIV/0!</v>
      </c>
      <c r="I32" s="51">
        <v>0</v>
      </c>
      <c r="J32" s="51"/>
      <c r="K32" s="51"/>
      <c r="L32" s="51"/>
      <c r="M32" s="54" t="e">
        <f t="shared" si="3"/>
        <v>#DIV/0!</v>
      </c>
      <c r="N32" s="51"/>
      <c r="O32" s="54" t="e">
        <f t="shared" si="0"/>
        <v>#DIV/0!</v>
      </c>
      <c r="P32" s="55">
        <f t="shared" si="4"/>
        <v>0</v>
      </c>
      <c r="Q32" s="56"/>
    </row>
    <row r="33" spans="1:17" s="32" customFormat="1" ht="120" customHeight="1" hidden="1" outlineLevel="5">
      <c r="A33" s="24" t="s">
        <v>46</v>
      </c>
      <c r="B33" s="48"/>
      <c r="C33" s="49" t="s">
        <v>44</v>
      </c>
      <c r="D33" s="144" t="s">
        <v>46</v>
      </c>
      <c r="E33" s="51"/>
      <c r="F33" s="51"/>
      <c r="G33" s="52">
        <f t="shared" si="1"/>
        <v>0</v>
      </c>
      <c r="H33" s="53" t="e">
        <f t="shared" si="2"/>
        <v>#DIV/0!</v>
      </c>
      <c r="I33" s="51">
        <v>0</v>
      </c>
      <c r="J33" s="51"/>
      <c r="K33" s="51"/>
      <c r="L33" s="51"/>
      <c r="M33" s="54" t="e">
        <f t="shared" si="3"/>
        <v>#DIV/0!</v>
      </c>
      <c r="N33" s="51"/>
      <c r="O33" s="54" t="e">
        <f t="shared" si="0"/>
        <v>#DIV/0!</v>
      </c>
      <c r="P33" s="55">
        <f t="shared" si="4"/>
        <v>0</v>
      </c>
      <c r="Q33" s="56"/>
    </row>
    <row r="34" spans="1:17" s="32" customFormat="1" ht="120" customHeight="1" hidden="1" outlineLevel="5">
      <c r="A34" s="24" t="s">
        <v>47</v>
      </c>
      <c r="B34" s="48"/>
      <c r="C34" s="49" t="s">
        <v>44</v>
      </c>
      <c r="D34" s="144" t="s">
        <v>47</v>
      </c>
      <c r="E34" s="51"/>
      <c r="F34" s="51"/>
      <c r="G34" s="52">
        <f t="shared" si="1"/>
        <v>0</v>
      </c>
      <c r="H34" s="53" t="e">
        <f t="shared" si="2"/>
        <v>#DIV/0!</v>
      </c>
      <c r="I34" s="51">
        <v>0</v>
      </c>
      <c r="J34" s="51"/>
      <c r="K34" s="51"/>
      <c r="L34" s="51"/>
      <c r="M34" s="54" t="e">
        <f t="shared" si="3"/>
        <v>#DIV/0!</v>
      </c>
      <c r="N34" s="51"/>
      <c r="O34" s="54" t="e">
        <f t="shared" si="0"/>
        <v>#DIV/0!</v>
      </c>
      <c r="P34" s="55">
        <f t="shared" si="4"/>
        <v>0</v>
      </c>
      <c r="Q34" s="56"/>
    </row>
    <row r="35" spans="1:17" s="32" customFormat="1" ht="15.75" customHeight="1" hidden="1" outlineLevel="3">
      <c r="A35" s="24" t="s">
        <v>48</v>
      </c>
      <c r="B35" s="48"/>
      <c r="C35" s="49" t="s">
        <v>23</v>
      </c>
      <c r="D35" s="144" t="s">
        <v>48</v>
      </c>
      <c r="E35" s="51"/>
      <c r="F35" s="51"/>
      <c r="G35" s="52">
        <f t="shared" si="1"/>
        <v>0</v>
      </c>
      <c r="H35" s="53" t="e">
        <f t="shared" si="2"/>
        <v>#DIV/0!</v>
      </c>
      <c r="I35" s="51">
        <v>300100</v>
      </c>
      <c r="J35" s="51"/>
      <c r="K35" s="51"/>
      <c r="L35" s="51"/>
      <c r="M35" s="54" t="e">
        <f t="shared" si="3"/>
        <v>#DIV/0!</v>
      </c>
      <c r="N35" s="51"/>
      <c r="O35" s="54">
        <f t="shared" si="0"/>
        <v>0</v>
      </c>
      <c r="P35" s="55">
        <f t="shared" si="4"/>
        <v>0</v>
      </c>
      <c r="Q35" s="56"/>
    </row>
    <row r="36" spans="1:17" s="32" customFormat="1" ht="270" customHeight="1" hidden="1" outlineLevel="4">
      <c r="A36" s="24" t="s">
        <v>49</v>
      </c>
      <c r="B36" s="48"/>
      <c r="C36" s="49" t="s">
        <v>50</v>
      </c>
      <c r="D36" s="144" t="s">
        <v>49</v>
      </c>
      <c r="E36" s="51"/>
      <c r="F36" s="51"/>
      <c r="G36" s="52">
        <f t="shared" si="1"/>
        <v>0</v>
      </c>
      <c r="H36" s="53" t="e">
        <f t="shared" si="2"/>
        <v>#DIV/0!</v>
      </c>
      <c r="I36" s="51">
        <v>300100</v>
      </c>
      <c r="J36" s="51"/>
      <c r="K36" s="51"/>
      <c r="L36" s="51"/>
      <c r="M36" s="54" t="e">
        <f t="shared" si="3"/>
        <v>#DIV/0!</v>
      </c>
      <c r="N36" s="51"/>
      <c r="O36" s="54">
        <f t="shared" si="0"/>
        <v>0</v>
      </c>
      <c r="P36" s="55">
        <f t="shared" si="4"/>
        <v>0</v>
      </c>
      <c r="Q36" s="56"/>
    </row>
    <row r="37" spans="1:17" s="32" customFormat="1" ht="270" customHeight="1" hidden="1" outlineLevel="5">
      <c r="A37" s="24" t="s">
        <v>49</v>
      </c>
      <c r="B37" s="48"/>
      <c r="C37" s="49" t="s">
        <v>51</v>
      </c>
      <c r="D37" s="144" t="s">
        <v>49</v>
      </c>
      <c r="E37" s="51"/>
      <c r="F37" s="51"/>
      <c r="G37" s="52">
        <f t="shared" si="1"/>
        <v>0</v>
      </c>
      <c r="H37" s="53" t="e">
        <f t="shared" si="2"/>
        <v>#DIV/0!</v>
      </c>
      <c r="I37" s="51">
        <v>300100</v>
      </c>
      <c r="J37" s="51"/>
      <c r="K37" s="51"/>
      <c r="L37" s="51"/>
      <c r="M37" s="54" t="e">
        <f t="shared" si="3"/>
        <v>#DIV/0!</v>
      </c>
      <c r="N37" s="51"/>
      <c r="O37" s="54">
        <f t="shared" si="0"/>
        <v>0</v>
      </c>
      <c r="P37" s="55">
        <f t="shared" si="4"/>
        <v>0</v>
      </c>
      <c r="Q37" s="56"/>
    </row>
    <row r="38" spans="1:17" s="32" customFormat="1" ht="409.5" customHeight="1" hidden="1" outlineLevel="5">
      <c r="A38" s="24" t="s">
        <v>52</v>
      </c>
      <c r="B38" s="48"/>
      <c r="C38" s="49" t="s">
        <v>53</v>
      </c>
      <c r="D38" s="144" t="s">
        <v>52</v>
      </c>
      <c r="E38" s="51">
        <v>8650982.19</v>
      </c>
      <c r="F38" s="51"/>
      <c r="G38" s="52">
        <f t="shared" si="1"/>
        <v>-8650982.19</v>
      </c>
      <c r="H38" s="53">
        <f t="shared" si="2"/>
        <v>0</v>
      </c>
      <c r="I38" s="51">
        <v>0</v>
      </c>
      <c r="J38" s="51"/>
      <c r="K38" s="51"/>
      <c r="L38" s="51"/>
      <c r="M38" s="54">
        <f t="shared" si="3"/>
        <v>0</v>
      </c>
      <c r="N38" s="51"/>
      <c r="O38" s="54" t="e">
        <f t="shared" si="0"/>
        <v>#DIV/0!</v>
      </c>
      <c r="P38" s="55">
        <f t="shared" si="4"/>
        <v>0</v>
      </c>
      <c r="Q38" s="56"/>
    </row>
    <row r="39" spans="1:17" s="32" customFormat="1" ht="57.75" customHeight="1" outlineLevel="2" collapsed="1">
      <c r="A39" s="24" t="s">
        <v>54</v>
      </c>
      <c r="B39" s="48" t="s">
        <v>55</v>
      </c>
      <c r="C39" s="49" t="s">
        <v>56</v>
      </c>
      <c r="D39" s="144" t="s">
        <v>54</v>
      </c>
      <c r="E39" s="51">
        <v>10254357.32</v>
      </c>
      <c r="F39" s="51">
        <v>832334.35</v>
      </c>
      <c r="G39" s="52">
        <f t="shared" si="1"/>
        <v>-9422022.97</v>
      </c>
      <c r="H39" s="53">
        <f t="shared" si="2"/>
        <v>0.0811688459867322</v>
      </c>
      <c r="I39" s="51">
        <v>9197170</v>
      </c>
      <c r="J39" s="51">
        <v>676056.9</v>
      </c>
      <c r="K39" s="51">
        <v>1169317.93</v>
      </c>
      <c r="L39" s="28">
        <f>K39-J39</f>
        <v>493261.0299999999</v>
      </c>
      <c r="M39" s="54">
        <f t="shared" si="3"/>
        <v>-0.9761353829516295</v>
      </c>
      <c r="N39" s="51">
        <f>K39-I39</f>
        <v>-8027852.07</v>
      </c>
      <c r="O39" s="54">
        <f t="shared" si="0"/>
        <v>0.12713888402628198</v>
      </c>
      <c r="P39" s="55">
        <f t="shared" si="4"/>
        <v>336983.57999999996</v>
      </c>
      <c r="Q39" s="149" t="s">
        <v>267</v>
      </c>
    </row>
    <row r="40" spans="1:17" s="32" customFormat="1" ht="58.5" customHeight="1" outlineLevel="1">
      <c r="A40" s="24" t="s">
        <v>57</v>
      </c>
      <c r="B40" s="48" t="s">
        <v>58</v>
      </c>
      <c r="C40" s="49" t="s">
        <v>59</v>
      </c>
      <c r="D40" s="144" t="s">
        <v>57</v>
      </c>
      <c r="E40" s="58">
        <f>E41+E42+E52+E56</f>
        <v>45903932.26</v>
      </c>
      <c r="F40" s="51">
        <f>F41+F42+F52+F56</f>
        <v>2793926.5</v>
      </c>
      <c r="G40" s="52">
        <f t="shared" si="1"/>
        <v>-43110005.76</v>
      </c>
      <c r="H40" s="53">
        <f t="shared" si="2"/>
        <v>0.060864644104456946</v>
      </c>
      <c r="I40" s="51">
        <f>I41+I42+I52+I56</f>
        <v>44278800</v>
      </c>
      <c r="J40" s="51">
        <f>J41+J42+J52+J56</f>
        <v>1291804</v>
      </c>
      <c r="K40" s="51">
        <f>K41+K42+K52+K56</f>
        <v>-1875600.7599999998</v>
      </c>
      <c r="L40" s="28">
        <f>K40-J40</f>
        <v>-3167404.76</v>
      </c>
      <c r="M40" s="54">
        <f t="shared" si="3"/>
        <v>-1.0271119017359185</v>
      </c>
      <c r="N40" s="51">
        <f>N41+N42+N52+N56</f>
        <v>-46154400.760000005</v>
      </c>
      <c r="O40" s="54">
        <f t="shared" si="0"/>
        <v>-0.042358888678103286</v>
      </c>
      <c r="P40" s="55">
        <f t="shared" si="4"/>
        <v>-4669527.26</v>
      </c>
      <c r="Q40" s="149" t="s">
        <v>267</v>
      </c>
    </row>
    <row r="41" spans="1:17" s="32" customFormat="1" ht="41.25" customHeight="1" outlineLevel="1">
      <c r="A41" s="24"/>
      <c r="B41" s="48" t="s">
        <v>60</v>
      </c>
      <c r="C41" s="59" t="s">
        <v>61</v>
      </c>
      <c r="D41" s="60" t="s">
        <v>62</v>
      </c>
      <c r="E41" s="61">
        <v>33191065.25</v>
      </c>
      <c r="F41" s="61">
        <v>2109932.91</v>
      </c>
      <c r="G41" s="62">
        <f>F41-E41</f>
        <v>-31081132.34</v>
      </c>
      <c r="H41" s="63"/>
      <c r="I41" s="61">
        <v>31715800</v>
      </c>
      <c r="J41" s="61">
        <v>728906</v>
      </c>
      <c r="K41" s="61">
        <v>-13985.01</v>
      </c>
      <c r="L41" s="61">
        <f>K41-J41</f>
        <v>-742891.01</v>
      </c>
      <c r="M41" s="63">
        <f t="shared" si="3"/>
        <v>-1.0204197084281648</v>
      </c>
      <c r="N41" s="61">
        <f>K41-I41</f>
        <v>-31729785.01</v>
      </c>
      <c r="O41" s="63">
        <f t="shared" si="0"/>
        <v>-0.0004409477295228246</v>
      </c>
      <c r="P41" s="61">
        <f>K41-F41</f>
        <v>-2123917.92</v>
      </c>
      <c r="Q41" s="57"/>
    </row>
    <row r="42" spans="1:17" ht="28.5" outlineLevel="2">
      <c r="A42" s="64" t="s">
        <v>63</v>
      </c>
      <c r="B42" s="65" t="s">
        <v>64</v>
      </c>
      <c r="C42" s="59" t="s">
        <v>65</v>
      </c>
      <c r="D42" s="60" t="s">
        <v>63</v>
      </c>
      <c r="E42" s="61">
        <v>108221.73</v>
      </c>
      <c r="F42" s="61">
        <v>34466.11</v>
      </c>
      <c r="G42" s="62">
        <f>F42-E42</f>
        <v>-73755.62</v>
      </c>
      <c r="H42" s="63">
        <f>F42/E42</f>
        <v>0.3184767975895414</v>
      </c>
      <c r="I42" s="61"/>
      <c r="J42" s="61"/>
      <c r="K42" s="61">
        <v>-250849.09</v>
      </c>
      <c r="L42" s="61">
        <f aca="true" t="shared" si="5" ref="L42:L56">K42-J42</f>
        <v>-250849.09</v>
      </c>
      <c r="M42" s="63">
        <f t="shared" si="3"/>
        <v>0</v>
      </c>
      <c r="N42" s="61">
        <f>K42-I42</f>
        <v>-250849.09</v>
      </c>
      <c r="O42" s="63"/>
      <c r="P42" s="61">
        <f>K42-F42</f>
        <v>-285315.2</v>
      </c>
      <c r="Q42" s="66" t="s">
        <v>263</v>
      </c>
    </row>
    <row r="43" spans="1:17" ht="15" customHeight="1" hidden="1" outlineLevel="3">
      <c r="A43" s="64" t="s">
        <v>66</v>
      </c>
      <c r="B43" s="65"/>
      <c r="C43" s="59" t="s">
        <v>23</v>
      </c>
      <c r="D43" s="60" t="s">
        <v>66</v>
      </c>
      <c r="E43" s="61"/>
      <c r="F43" s="61"/>
      <c r="G43" s="62">
        <f aca="true" t="shared" si="6" ref="G43:G56">F43-E43</f>
        <v>0</v>
      </c>
      <c r="H43" s="63" t="e">
        <f aca="true" t="shared" si="7" ref="H43:H56">F43/E43</f>
        <v>#DIV/0!</v>
      </c>
      <c r="I43" s="61">
        <v>57591300</v>
      </c>
      <c r="J43" s="61"/>
      <c r="K43" s="61"/>
      <c r="L43" s="61">
        <f t="shared" si="5"/>
        <v>0</v>
      </c>
      <c r="M43" s="63" t="e">
        <f t="shared" si="3"/>
        <v>#DIV/0!</v>
      </c>
      <c r="N43" s="61">
        <f aca="true" t="shared" si="8" ref="N43:N56">K43-I43</f>
        <v>-57591300</v>
      </c>
      <c r="O43" s="63">
        <f t="shared" si="0"/>
        <v>0</v>
      </c>
      <c r="P43" s="61">
        <f aca="true" t="shared" si="9" ref="P43:P56">K43-F43</f>
        <v>0</v>
      </c>
      <c r="Q43" s="67"/>
    </row>
    <row r="44" spans="1:17" ht="57" customHeight="1" hidden="1" outlineLevel="4">
      <c r="A44" s="64" t="s">
        <v>67</v>
      </c>
      <c r="B44" s="65"/>
      <c r="C44" s="59" t="s">
        <v>68</v>
      </c>
      <c r="D44" s="60" t="s">
        <v>67</v>
      </c>
      <c r="E44" s="61"/>
      <c r="F44" s="61"/>
      <c r="G44" s="62">
        <f t="shared" si="6"/>
        <v>0</v>
      </c>
      <c r="H44" s="63" t="e">
        <f t="shared" si="7"/>
        <v>#DIV/0!</v>
      </c>
      <c r="I44" s="61">
        <v>57591300</v>
      </c>
      <c r="J44" s="61"/>
      <c r="K44" s="61"/>
      <c r="L44" s="61">
        <f t="shared" si="5"/>
        <v>0</v>
      </c>
      <c r="M44" s="63" t="e">
        <f t="shared" si="3"/>
        <v>#DIV/0!</v>
      </c>
      <c r="N44" s="61">
        <f t="shared" si="8"/>
        <v>-57591300</v>
      </c>
      <c r="O44" s="63">
        <f t="shared" si="0"/>
        <v>0</v>
      </c>
      <c r="P44" s="61">
        <f t="shared" si="9"/>
        <v>0</v>
      </c>
      <c r="Q44" s="67"/>
    </row>
    <row r="45" spans="1:17" ht="57" customHeight="1" hidden="1" outlineLevel="5">
      <c r="A45" s="64" t="s">
        <v>67</v>
      </c>
      <c r="B45" s="65"/>
      <c r="C45" s="59" t="s">
        <v>69</v>
      </c>
      <c r="D45" s="60" t="s">
        <v>67</v>
      </c>
      <c r="E45" s="61"/>
      <c r="F45" s="61"/>
      <c r="G45" s="62">
        <f t="shared" si="6"/>
        <v>0</v>
      </c>
      <c r="H45" s="63" t="e">
        <f t="shared" si="7"/>
        <v>#DIV/0!</v>
      </c>
      <c r="I45" s="61">
        <v>57591300</v>
      </c>
      <c r="J45" s="61"/>
      <c r="K45" s="61"/>
      <c r="L45" s="61">
        <f t="shared" si="5"/>
        <v>0</v>
      </c>
      <c r="M45" s="63" t="e">
        <f t="shared" si="3"/>
        <v>#DIV/0!</v>
      </c>
      <c r="N45" s="61">
        <f t="shared" si="8"/>
        <v>-57591300</v>
      </c>
      <c r="O45" s="63">
        <f t="shared" si="0"/>
        <v>0</v>
      </c>
      <c r="P45" s="61">
        <f t="shared" si="9"/>
        <v>0</v>
      </c>
      <c r="Q45" s="67"/>
    </row>
    <row r="46" spans="1:17" ht="57" customHeight="1" hidden="1" outlineLevel="5">
      <c r="A46" s="64" t="s">
        <v>70</v>
      </c>
      <c r="B46" s="65"/>
      <c r="C46" s="59" t="s">
        <v>69</v>
      </c>
      <c r="D46" s="60" t="s">
        <v>70</v>
      </c>
      <c r="E46" s="61"/>
      <c r="F46" s="61"/>
      <c r="G46" s="62">
        <f t="shared" si="6"/>
        <v>0</v>
      </c>
      <c r="H46" s="63" t="e">
        <f t="shared" si="7"/>
        <v>#DIV/0!</v>
      </c>
      <c r="I46" s="61">
        <v>0</v>
      </c>
      <c r="J46" s="61"/>
      <c r="K46" s="61"/>
      <c r="L46" s="61">
        <f t="shared" si="5"/>
        <v>0</v>
      </c>
      <c r="M46" s="63" t="e">
        <f t="shared" si="3"/>
        <v>#DIV/0!</v>
      </c>
      <c r="N46" s="61">
        <f t="shared" si="8"/>
        <v>0</v>
      </c>
      <c r="O46" s="63" t="e">
        <f t="shared" si="0"/>
        <v>#DIV/0!</v>
      </c>
      <c r="P46" s="61">
        <f t="shared" si="9"/>
        <v>0</v>
      </c>
      <c r="Q46" s="67"/>
    </row>
    <row r="47" spans="1:17" ht="57" customHeight="1" hidden="1" outlineLevel="5">
      <c r="A47" s="64" t="s">
        <v>71</v>
      </c>
      <c r="B47" s="65"/>
      <c r="C47" s="59" t="s">
        <v>69</v>
      </c>
      <c r="D47" s="60" t="s">
        <v>71</v>
      </c>
      <c r="E47" s="61"/>
      <c r="F47" s="61"/>
      <c r="G47" s="62">
        <f t="shared" si="6"/>
        <v>0</v>
      </c>
      <c r="H47" s="63" t="e">
        <f t="shared" si="7"/>
        <v>#DIV/0!</v>
      </c>
      <c r="I47" s="61">
        <v>0</v>
      </c>
      <c r="J47" s="61"/>
      <c r="K47" s="61"/>
      <c r="L47" s="61">
        <f t="shared" si="5"/>
        <v>0</v>
      </c>
      <c r="M47" s="63" t="e">
        <f t="shared" si="3"/>
        <v>#DIV/0!</v>
      </c>
      <c r="N47" s="61">
        <f t="shared" si="8"/>
        <v>0</v>
      </c>
      <c r="O47" s="63" t="e">
        <f t="shared" si="0"/>
        <v>#DIV/0!</v>
      </c>
      <c r="P47" s="61">
        <f t="shared" si="9"/>
        <v>0</v>
      </c>
      <c r="Q47" s="67"/>
    </row>
    <row r="48" spans="1:17" ht="57" customHeight="1" hidden="1" outlineLevel="5">
      <c r="A48" s="64" t="s">
        <v>72</v>
      </c>
      <c r="B48" s="65"/>
      <c r="C48" s="59" t="s">
        <v>69</v>
      </c>
      <c r="D48" s="60" t="s">
        <v>72</v>
      </c>
      <c r="E48" s="61"/>
      <c r="F48" s="61"/>
      <c r="G48" s="62">
        <f t="shared" si="6"/>
        <v>0</v>
      </c>
      <c r="H48" s="63" t="e">
        <f t="shared" si="7"/>
        <v>#DIV/0!</v>
      </c>
      <c r="I48" s="61">
        <v>0</v>
      </c>
      <c r="J48" s="61"/>
      <c r="K48" s="61"/>
      <c r="L48" s="61">
        <f t="shared" si="5"/>
        <v>0</v>
      </c>
      <c r="M48" s="63" t="e">
        <f t="shared" si="3"/>
        <v>#DIV/0!</v>
      </c>
      <c r="N48" s="61">
        <f t="shared" si="8"/>
        <v>0</v>
      </c>
      <c r="O48" s="63" t="e">
        <f t="shared" si="0"/>
        <v>#DIV/0!</v>
      </c>
      <c r="P48" s="61">
        <f t="shared" si="9"/>
        <v>0</v>
      </c>
      <c r="Q48" s="67"/>
    </row>
    <row r="49" spans="1:17" ht="15" customHeight="1" hidden="1" outlineLevel="3">
      <c r="A49" s="64" t="s">
        <v>73</v>
      </c>
      <c r="B49" s="65"/>
      <c r="C49" s="59" t="s">
        <v>23</v>
      </c>
      <c r="D49" s="60" t="s">
        <v>73</v>
      </c>
      <c r="E49" s="61"/>
      <c r="F49" s="61"/>
      <c r="G49" s="62">
        <f t="shared" si="6"/>
        <v>0</v>
      </c>
      <c r="H49" s="63" t="e">
        <f t="shared" si="7"/>
        <v>#DIV/0!</v>
      </c>
      <c r="I49" s="61">
        <v>0</v>
      </c>
      <c r="J49" s="61"/>
      <c r="K49" s="61"/>
      <c r="L49" s="61">
        <f t="shared" si="5"/>
        <v>0</v>
      </c>
      <c r="M49" s="63" t="e">
        <f t="shared" si="3"/>
        <v>#DIV/0!</v>
      </c>
      <c r="N49" s="61">
        <f t="shared" si="8"/>
        <v>0</v>
      </c>
      <c r="O49" s="63" t="e">
        <f t="shared" si="0"/>
        <v>#DIV/0!</v>
      </c>
      <c r="P49" s="61">
        <f t="shared" si="9"/>
        <v>0</v>
      </c>
      <c r="Q49" s="67"/>
    </row>
    <row r="50" spans="1:17" ht="99.75" customHeight="1" hidden="1" outlineLevel="4">
      <c r="A50" s="64" t="s">
        <v>74</v>
      </c>
      <c r="B50" s="65"/>
      <c r="C50" s="59" t="s">
        <v>75</v>
      </c>
      <c r="D50" s="60" t="s">
        <v>74</v>
      </c>
      <c r="E50" s="61"/>
      <c r="F50" s="61"/>
      <c r="G50" s="62">
        <f t="shared" si="6"/>
        <v>0</v>
      </c>
      <c r="H50" s="63" t="e">
        <f t="shared" si="7"/>
        <v>#DIV/0!</v>
      </c>
      <c r="I50" s="61">
        <v>0</v>
      </c>
      <c r="J50" s="61"/>
      <c r="K50" s="61"/>
      <c r="L50" s="61">
        <f t="shared" si="5"/>
        <v>0</v>
      </c>
      <c r="M50" s="63" t="e">
        <f t="shared" si="3"/>
        <v>#DIV/0!</v>
      </c>
      <c r="N50" s="61">
        <f t="shared" si="8"/>
        <v>0</v>
      </c>
      <c r="O50" s="63" t="e">
        <f t="shared" si="0"/>
        <v>#DIV/0!</v>
      </c>
      <c r="P50" s="61">
        <f t="shared" si="9"/>
        <v>0</v>
      </c>
      <c r="Q50" s="67"/>
    </row>
    <row r="51" spans="1:17" ht="99.75" customHeight="1" hidden="1" outlineLevel="5">
      <c r="A51" s="64" t="s">
        <v>76</v>
      </c>
      <c r="B51" s="65"/>
      <c r="C51" s="59" t="s">
        <v>77</v>
      </c>
      <c r="D51" s="60" t="s">
        <v>76</v>
      </c>
      <c r="E51" s="61"/>
      <c r="F51" s="61"/>
      <c r="G51" s="62">
        <f t="shared" si="6"/>
        <v>0</v>
      </c>
      <c r="H51" s="63" t="e">
        <f t="shared" si="7"/>
        <v>#DIV/0!</v>
      </c>
      <c r="I51" s="61">
        <v>0</v>
      </c>
      <c r="J51" s="61"/>
      <c r="K51" s="61"/>
      <c r="L51" s="61">
        <f t="shared" si="5"/>
        <v>0</v>
      </c>
      <c r="M51" s="63" t="e">
        <f t="shared" si="3"/>
        <v>#DIV/0!</v>
      </c>
      <c r="N51" s="61">
        <f t="shared" si="8"/>
        <v>0</v>
      </c>
      <c r="O51" s="63" t="e">
        <f t="shared" si="0"/>
        <v>#DIV/0!</v>
      </c>
      <c r="P51" s="61">
        <f t="shared" si="9"/>
        <v>0</v>
      </c>
      <c r="Q51" s="67"/>
    </row>
    <row r="52" spans="1:17" ht="18.75" customHeight="1" outlineLevel="2" collapsed="1">
      <c r="A52" s="64" t="s">
        <v>78</v>
      </c>
      <c r="B52" s="65" t="s">
        <v>79</v>
      </c>
      <c r="C52" s="59" t="s">
        <v>80</v>
      </c>
      <c r="D52" s="60" t="s">
        <v>78</v>
      </c>
      <c r="E52" s="62">
        <v>63052.38</v>
      </c>
      <c r="F52" s="62"/>
      <c r="G52" s="62">
        <f t="shared" si="6"/>
        <v>-63052.38</v>
      </c>
      <c r="H52" s="63">
        <f t="shared" si="7"/>
        <v>0</v>
      </c>
      <c r="I52" s="61">
        <v>63000</v>
      </c>
      <c r="J52" s="61"/>
      <c r="K52" s="62"/>
      <c r="L52" s="61">
        <f t="shared" si="5"/>
        <v>0</v>
      </c>
      <c r="M52" s="63">
        <f t="shared" si="3"/>
        <v>-0.9991692621277738</v>
      </c>
      <c r="N52" s="61">
        <f t="shared" si="8"/>
        <v>-63000</v>
      </c>
      <c r="O52" s="63">
        <f t="shared" si="0"/>
        <v>0</v>
      </c>
      <c r="P52" s="61">
        <f t="shared" si="9"/>
        <v>0</v>
      </c>
      <c r="Q52" s="67"/>
    </row>
    <row r="53" spans="1:17" ht="15" customHeight="1" hidden="1" outlineLevel="3">
      <c r="A53" s="64" t="s">
        <v>81</v>
      </c>
      <c r="B53" s="65"/>
      <c r="C53" s="59" t="s">
        <v>23</v>
      </c>
      <c r="D53" s="60" t="s">
        <v>81</v>
      </c>
      <c r="E53" s="61"/>
      <c r="F53" s="61"/>
      <c r="G53" s="62">
        <f t="shared" si="6"/>
        <v>0</v>
      </c>
      <c r="H53" s="63" t="e">
        <f t="shared" si="7"/>
        <v>#DIV/0!</v>
      </c>
      <c r="I53" s="61"/>
      <c r="J53" s="61"/>
      <c r="K53" s="61"/>
      <c r="L53" s="61">
        <f t="shared" si="5"/>
        <v>0</v>
      </c>
      <c r="M53" s="63" t="e">
        <f t="shared" si="3"/>
        <v>#DIV/0!</v>
      </c>
      <c r="N53" s="61">
        <f t="shared" si="8"/>
        <v>0</v>
      </c>
      <c r="O53" s="63" t="e">
        <f t="shared" si="0"/>
        <v>#DIV/0!</v>
      </c>
      <c r="P53" s="61">
        <f t="shared" si="9"/>
        <v>0</v>
      </c>
      <c r="Q53" s="68"/>
    </row>
    <row r="54" spans="1:17" ht="42.75" customHeight="1" hidden="1" outlineLevel="4">
      <c r="A54" s="64" t="s">
        <v>82</v>
      </c>
      <c r="B54" s="65"/>
      <c r="C54" s="59" t="s">
        <v>83</v>
      </c>
      <c r="D54" s="60" t="s">
        <v>82</v>
      </c>
      <c r="E54" s="61"/>
      <c r="F54" s="61"/>
      <c r="G54" s="62">
        <f t="shared" si="6"/>
        <v>0</v>
      </c>
      <c r="H54" s="63" t="e">
        <f t="shared" si="7"/>
        <v>#DIV/0!</v>
      </c>
      <c r="I54" s="61"/>
      <c r="J54" s="61"/>
      <c r="K54" s="61"/>
      <c r="L54" s="61">
        <f t="shared" si="5"/>
        <v>0</v>
      </c>
      <c r="M54" s="63" t="e">
        <f t="shared" si="3"/>
        <v>#DIV/0!</v>
      </c>
      <c r="N54" s="61">
        <f t="shared" si="8"/>
        <v>0</v>
      </c>
      <c r="O54" s="63" t="e">
        <f t="shared" si="0"/>
        <v>#DIV/0!</v>
      </c>
      <c r="P54" s="61">
        <f t="shared" si="9"/>
        <v>0</v>
      </c>
      <c r="Q54" s="68"/>
    </row>
    <row r="55" spans="1:17" ht="42.75" customHeight="1" hidden="1" outlineLevel="5">
      <c r="A55" s="64" t="s">
        <v>82</v>
      </c>
      <c r="B55" s="65"/>
      <c r="C55" s="59" t="s">
        <v>84</v>
      </c>
      <c r="D55" s="60" t="s">
        <v>82</v>
      </c>
      <c r="E55" s="61"/>
      <c r="F55" s="61"/>
      <c r="G55" s="62">
        <f t="shared" si="6"/>
        <v>0</v>
      </c>
      <c r="H55" s="63" t="e">
        <f t="shared" si="7"/>
        <v>#DIV/0!</v>
      </c>
      <c r="I55" s="61"/>
      <c r="J55" s="61"/>
      <c r="K55" s="61"/>
      <c r="L55" s="61">
        <f t="shared" si="5"/>
        <v>0</v>
      </c>
      <c r="M55" s="63" t="e">
        <f t="shared" si="3"/>
        <v>#DIV/0!</v>
      </c>
      <c r="N55" s="61">
        <f t="shared" si="8"/>
        <v>0</v>
      </c>
      <c r="O55" s="63" t="e">
        <f t="shared" si="0"/>
        <v>#DIV/0!</v>
      </c>
      <c r="P55" s="61">
        <f t="shared" si="9"/>
        <v>0</v>
      </c>
      <c r="Q55" s="68"/>
    </row>
    <row r="56" spans="1:17" ht="72" customHeight="1" outlineLevel="2" collapsed="1">
      <c r="A56" s="64" t="s">
        <v>85</v>
      </c>
      <c r="B56" s="65" t="s">
        <v>86</v>
      </c>
      <c r="C56" s="59" t="s">
        <v>87</v>
      </c>
      <c r="D56" s="60" t="s">
        <v>85</v>
      </c>
      <c r="E56" s="61">
        <v>12541592.9</v>
      </c>
      <c r="F56" s="61">
        <v>649527.48</v>
      </c>
      <c r="G56" s="62">
        <f t="shared" si="6"/>
        <v>-11892065.42</v>
      </c>
      <c r="H56" s="63">
        <f t="shared" si="7"/>
        <v>0.051789871125540995</v>
      </c>
      <c r="I56" s="61">
        <v>12500000</v>
      </c>
      <c r="J56" s="61">
        <v>562898</v>
      </c>
      <c r="K56" s="61">
        <v>-1610766.66</v>
      </c>
      <c r="L56" s="61">
        <f t="shared" si="5"/>
        <v>-2173664.66</v>
      </c>
      <c r="M56" s="63">
        <f t="shared" si="3"/>
        <v>-1.0511210255350243</v>
      </c>
      <c r="N56" s="61">
        <f t="shared" si="8"/>
        <v>-14110766.66</v>
      </c>
      <c r="O56" s="63">
        <f t="shared" si="0"/>
        <v>-0.1288613328</v>
      </c>
      <c r="P56" s="61">
        <f t="shared" si="9"/>
        <v>-2260294.1399999997</v>
      </c>
      <c r="Q56" s="66"/>
    </row>
    <row r="57" spans="1:17" ht="15" customHeight="1" hidden="1" outlineLevel="3">
      <c r="A57" s="64" t="s">
        <v>88</v>
      </c>
      <c r="B57" s="65"/>
      <c r="C57" s="59" t="s">
        <v>23</v>
      </c>
      <c r="D57" s="60" t="s">
        <v>88</v>
      </c>
      <c r="E57" s="61">
        <v>401120</v>
      </c>
      <c r="F57" s="61">
        <v>401120</v>
      </c>
      <c r="G57" s="62"/>
      <c r="H57" s="63" t="e">
        <f>E57/#REF!</f>
        <v>#REF!</v>
      </c>
      <c r="I57" s="61">
        <v>8300000</v>
      </c>
      <c r="J57" s="61"/>
      <c r="K57" s="61">
        <v>401120</v>
      </c>
      <c r="L57" s="61"/>
      <c r="M57" s="63" t="e">
        <f t="shared" si="3"/>
        <v>#DIV/0!</v>
      </c>
      <c r="N57" s="61"/>
      <c r="O57" s="63">
        <f t="shared" si="0"/>
        <v>0.04832771084337349</v>
      </c>
      <c r="P57" s="61" t="e">
        <f>E57-#REF!</f>
        <v>#REF!</v>
      </c>
      <c r="Q57" s="68"/>
    </row>
    <row r="58" spans="1:17" ht="85.5" customHeight="1" hidden="1" outlineLevel="4">
      <c r="A58" s="64" t="s">
        <v>89</v>
      </c>
      <c r="B58" s="65"/>
      <c r="C58" s="59" t="s">
        <v>90</v>
      </c>
      <c r="D58" s="60" t="s">
        <v>89</v>
      </c>
      <c r="E58" s="61">
        <v>0</v>
      </c>
      <c r="F58" s="61">
        <v>401120</v>
      </c>
      <c r="G58" s="62"/>
      <c r="H58" s="63" t="e">
        <f>E58/#REF!</f>
        <v>#REF!</v>
      </c>
      <c r="I58" s="61">
        <v>8300000</v>
      </c>
      <c r="J58" s="61"/>
      <c r="K58" s="61">
        <v>401120</v>
      </c>
      <c r="L58" s="61"/>
      <c r="M58" s="63" t="e">
        <f t="shared" si="3"/>
        <v>#DIV/0!</v>
      </c>
      <c r="N58" s="61"/>
      <c r="O58" s="63">
        <f t="shared" si="0"/>
        <v>0.04832771084337349</v>
      </c>
      <c r="P58" s="61" t="e">
        <f>E58-#REF!</f>
        <v>#REF!</v>
      </c>
      <c r="Q58" s="68"/>
    </row>
    <row r="59" spans="1:17" ht="99.75" customHeight="1" hidden="1" outlineLevel="5">
      <c r="A59" s="64" t="s">
        <v>89</v>
      </c>
      <c r="B59" s="65"/>
      <c r="C59" s="59" t="s">
        <v>91</v>
      </c>
      <c r="D59" s="60" t="s">
        <v>89</v>
      </c>
      <c r="E59" s="61">
        <v>401106.8</v>
      </c>
      <c r="F59" s="61">
        <v>0</v>
      </c>
      <c r="G59" s="62"/>
      <c r="H59" s="63" t="e">
        <f>E59/#REF!</f>
        <v>#REF!</v>
      </c>
      <c r="I59" s="61">
        <v>8300000</v>
      </c>
      <c r="J59" s="61"/>
      <c r="K59" s="61">
        <v>0</v>
      </c>
      <c r="L59" s="61"/>
      <c r="M59" s="63" t="e">
        <f t="shared" si="3"/>
        <v>#DIV/0!</v>
      </c>
      <c r="N59" s="61"/>
      <c r="O59" s="63">
        <f t="shared" si="0"/>
        <v>0</v>
      </c>
      <c r="P59" s="61" t="e">
        <f>E59-#REF!</f>
        <v>#REF!</v>
      </c>
      <c r="Q59" s="68"/>
    </row>
    <row r="60" spans="1:17" ht="99.75" customHeight="1" hidden="1" outlineLevel="5">
      <c r="A60" s="64" t="s">
        <v>92</v>
      </c>
      <c r="B60" s="65"/>
      <c r="C60" s="59" t="s">
        <v>91</v>
      </c>
      <c r="D60" s="60" t="s">
        <v>92</v>
      </c>
      <c r="E60" s="61">
        <v>13.2</v>
      </c>
      <c r="F60" s="61">
        <v>401106.8</v>
      </c>
      <c r="G60" s="62"/>
      <c r="H60" s="63" t="e">
        <f>E60/#REF!</f>
        <v>#REF!</v>
      </c>
      <c r="I60" s="61">
        <v>0</v>
      </c>
      <c r="J60" s="61"/>
      <c r="K60" s="61">
        <v>401106.8</v>
      </c>
      <c r="L60" s="61"/>
      <c r="M60" s="63" t="e">
        <f t="shared" si="3"/>
        <v>#DIV/0!</v>
      </c>
      <c r="N60" s="61"/>
      <c r="O60" s="63" t="e">
        <f t="shared" si="0"/>
        <v>#DIV/0!</v>
      </c>
      <c r="P60" s="61" t="e">
        <f>E60-#REF!</f>
        <v>#REF!</v>
      </c>
      <c r="Q60" s="68"/>
    </row>
    <row r="61" spans="1:17" ht="99.75" customHeight="1" hidden="1" outlineLevel="5">
      <c r="A61" s="64" t="s">
        <v>93</v>
      </c>
      <c r="B61" s="65"/>
      <c r="C61" s="59" t="s">
        <v>91</v>
      </c>
      <c r="D61" s="60" t="s">
        <v>93</v>
      </c>
      <c r="E61" s="51">
        <f>E62+E63+E64</f>
        <v>172244710.82</v>
      </c>
      <c r="F61" s="61">
        <v>13.2</v>
      </c>
      <c r="G61" s="62"/>
      <c r="H61" s="63" t="e">
        <f>E61/#REF!</f>
        <v>#REF!</v>
      </c>
      <c r="I61" s="61">
        <v>0</v>
      </c>
      <c r="J61" s="61"/>
      <c r="K61" s="61">
        <v>13.2</v>
      </c>
      <c r="L61" s="61"/>
      <c r="M61" s="63" t="e">
        <f t="shared" si="3"/>
        <v>#DIV/0!</v>
      </c>
      <c r="N61" s="61"/>
      <c r="O61" s="63" t="e">
        <f t="shared" si="0"/>
        <v>#DIV/0!</v>
      </c>
      <c r="P61" s="61" t="e">
        <f>E61-#REF!</f>
        <v>#REF!</v>
      </c>
      <c r="Q61" s="68"/>
    </row>
    <row r="62" spans="1:17" s="32" customFormat="1" ht="22.5" customHeight="1" outlineLevel="1" collapsed="1">
      <c r="A62" s="24" t="s">
        <v>94</v>
      </c>
      <c r="B62" s="48" t="s">
        <v>95</v>
      </c>
      <c r="C62" s="49" t="s">
        <v>96</v>
      </c>
      <c r="D62" s="50" t="s">
        <v>94</v>
      </c>
      <c r="E62" s="51">
        <f>E63+E64+E65</f>
        <v>95317580.9</v>
      </c>
      <c r="F62" s="51">
        <f>F63+F64+F65</f>
        <v>10655252.52</v>
      </c>
      <c r="G62" s="58">
        <f>F62-E62</f>
        <v>-84662328.38000001</v>
      </c>
      <c r="H62" s="54">
        <f aca="true" t="shared" si="10" ref="H62:H72">F62/E62</f>
        <v>0.11178685421295663</v>
      </c>
      <c r="I62" s="51">
        <f>I63+I64+I65</f>
        <v>91400000</v>
      </c>
      <c r="J62" s="51">
        <f>J63+J64+J65</f>
        <v>3543302</v>
      </c>
      <c r="K62" s="51">
        <f>K63+K64+K65</f>
        <v>565512.12</v>
      </c>
      <c r="L62" s="51">
        <f>K62-J62</f>
        <v>-2977789.88</v>
      </c>
      <c r="M62" s="54">
        <f t="shared" si="3"/>
        <v>-1.079582876456675</v>
      </c>
      <c r="N62" s="51">
        <f>N63+N64+N65</f>
        <v>-90834487.88</v>
      </c>
      <c r="O62" s="54">
        <f t="shared" si="0"/>
        <v>0.0061872223194748355</v>
      </c>
      <c r="P62" s="51">
        <f aca="true" t="shared" si="11" ref="P62:P72">K62-F62</f>
        <v>-10089740.4</v>
      </c>
      <c r="Q62" s="149" t="s">
        <v>267</v>
      </c>
    </row>
    <row r="63" spans="1:17" ht="28.5" outlineLevel="2">
      <c r="A63" s="64" t="s">
        <v>97</v>
      </c>
      <c r="B63" s="65" t="s">
        <v>98</v>
      </c>
      <c r="C63" s="59" t="s">
        <v>99</v>
      </c>
      <c r="D63" s="60" t="s">
        <v>97</v>
      </c>
      <c r="E63" s="61">
        <v>14947482.35</v>
      </c>
      <c r="F63" s="61">
        <v>754714.61</v>
      </c>
      <c r="G63" s="62">
        <f>F63-E63</f>
        <v>-14192767.74</v>
      </c>
      <c r="H63" s="63">
        <f t="shared" si="10"/>
        <v>0.050491085543914356</v>
      </c>
      <c r="I63" s="61">
        <v>11900000</v>
      </c>
      <c r="J63" s="61">
        <v>80000</v>
      </c>
      <c r="K63" s="61">
        <v>435647.02</v>
      </c>
      <c r="L63" s="61">
        <f>K63-J63</f>
        <v>355647.02</v>
      </c>
      <c r="M63" s="63">
        <f t="shared" si="3"/>
        <v>-0.838455206059759</v>
      </c>
      <c r="N63" s="61">
        <f>K63-I63</f>
        <v>-11464352.98</v>
      </c>
      <c r="O63" s="63">
        <f t="shared" si="0"/>
        <v>0.036608993277310924</v>
      </c>
      <c r="P63" s="61">
        <f t="shared" si="11"/>
        <v>-319067.58999999997</v>
      </c>
      <c r="Q63" s="66"/>
    </row>
    <row r="64" spans="1:17" ht="42" customHeight="1" outlineLevel="4">
      <c r="A64" s="64" t="s">
        <v>100</v>
      </c>
      <c r="B64" s="65" t="s">
        <v>101</v>
      </c>
      <c r="C64" s="59" t="s">
        <v>102</v>
      </c>
      <c r="D64" s="60" t="s">
        <v>100</v>
      </c>
      <c r="E64" s="61">
        <v>61979647.57</v>
      </c>
      <c r="F64" s="61">
        <v>9194952.85</v>
      </c>
      <c r="G64" s="62">
        <f>F64-E64</f>
        <v>-52784694.72</v>
      </c>
      <c r="H64" s="63">
        <f t="shared" si="10"/>
        <v>0.14835439068308984</v>
      </c>
      <c r="I64" s="61">
        <v>62500000</v>
      </c>
      <c r="J64" s="61">
        <v>3011857</v>
      </c>
      <c r="K64" s="61">
        <v>-53767.5</v>
      </c>
      <c r="L64" s="61">
        <f>K64-J64</f>
        <v>-3065624.5</v>
      </c>
      <c r="M64" s="63">
        <f t="shared" si="3"/>
        <v>-1.1840553465646717</v>
      </c>
      <c r="N64" s="61">
        <f>K64-I64</f>
        <v>-62553767.5</v>
      </c>
      <c r="O64" s="63">
        <f t="shared" si="0"/>
        <v>-0.00086028</v>
      </c>
      <c r="P64" s="61">
        <f t="shared" si="11"/>
        <v>-9248720.35</v>
      </c>
      <c r="Q64" s="66"/>
    </row>
    <row r="65" spans="1:17" ht="56.25" customHeight="1" outlineLevel="4">
      <c r="A65" s="64" t="s">
        <v>103</v>
      </c>
      <c r="B65" s="65" t="s">
        <v>104</v>
      </c>
      <c r="C65" s="59" t="s">
        <v>105</v>
      </c>
      <c r="D65" s="60" t="s">
        <v>103</v>
      </c>
      <c r="E65" s="61">
        <v>18390450.98</v>
      </c>
      <c r="F65" s="61">
        <v>705585.06</v>
      </c>
      <c r="G65" s="62">
        <f>F65-E65</f>
        <v>-17684865.92</v>
      </c>
      <c r="H65" s="63">
        <f t="shared" si="10"/>
        <v>0.03836692535530197</v>
      </c>
      <c r="I65" s="61">
        <v>17000000</v>
      </c>
      <c r="J65" s="61">
        <v>451445</v>
      </c>
      <c r="K65" s="61">
        <v>183632.6</v>
      </c>
      <c r="L65" s="61">
        <f>K65-J65</f>
        <v>-267812.4</v>
      </c>
      <c r="M65" s="63">
        <f t="shared" si="3"/>
        <v>-0.9612738980833618</v>
      </c>
      <c r="N65" s="61">
        <f>K65-I65</f>
        <v>-16816367.4</v>
      </c>
      <c r="O65" s="63">
        <f t="shared" si="0"/>
        <v>0.010801917647058824</v>
      </c>
      <c r="P65" s="61">
        <f t="shared" si="11"/>
        <v>-521952.4600000001</v>
      </c>
      <c r="Q65" s="66"/>
    </row>
    <row r="66" spans="1:17" s="32" customFormat="1" ht="32.25" customHeight="1" outlineLevel="1">
      <c r="A66" s="24" t="s">
        <v>106</v>
      </c>
      <c r="B66" s="48" t="s">
        <v>107</v>
      </c>
      <c r="C66" s="49" t="s">
        <v>108</v>
      </c>
      <c r="D66" s="50" t="s">
        <v>106</v>
      </c>
      <c r="E66" s="51">
        <f>E67+E72</f>
        <v>10536108.33</v>
      </c>
      <c r="F66" s="51">
        <f>F67+F72</f>
        <v>1583785.91</v>
      </c>
      <c r="G66" s="58">
        <f>G67+G72</f>
        <v>-8952322.42</v>
      </c>
      <c r="H66" s="54">
        <f t="shared" si="10"/>
        <v>0.15031982022151436</v>
      </c>
      <c r="I66" s="51">
        <f>I67+I72</f>
        <v>11535000</v>
      </c>
      <c r="J66" s="51">
        <f>J67+J72</f>
        <v>605206</v>
      </c>
      <c r="K66" s="51">
        <f>K67+K72</f>
        <v>1394978.37</v>
      </c>
      <c r="L66" s="51">
        <f>K66-J66</f>
        <v>789772.3700000001</v>
      </c>
      <c r="M66" s="54">
        <f t="shared" si="3"/>
        <v>-1.288492466963673</v>
      </c>
      <c r="N66" s="51">
        <f>N67+N72</f>
        <v>-10140021.629999999</v>
      </c>
      <c r="O66" s="54">
        <f t="shared" si="0"/>
        <v>0.12093440572171653</v>
      </c>
      <c r="P66" s="51">
        <f t="shared" si="11"/>
        <v>-188807.5399999998</v>
      </c>
      <c r="Q66" s="56"/>
    </row>
    <row r="67" spans="1:17" ht="91.5" customHeight="1" outlineLevel="2">
      <c r="A67" s="64" t="s">
        <v>109</v>
      </c>
      <c r="B67" s="65" t="s">
        <v>110</v>
      </c>
      <c r="C67" s="59" t="s">
        <v>111</v>
      </c>
      <c r="D67" s="60" t="s">
        <v>109</v>
      </c>
      <c r="E67" s="61">
        <v>10431108.33</v>
      </c>
      <c r="F67" s="61">
        <v>1553785.91</v>
      </c>
      <c r="G67" s="62">
        <f aca="true" t="shared" si="12" ref="G67:G72">F67-E67</f>
        <v>-8877322.42</v>
      </c>
      <c r="H67" s="63">
        <f t="shared" si="10"/>
        <v>0.14895693351504097</v>
      </c>
      <c r="I67" s="61">
        <v>11500000</v>
      </c>
      <c r="J67" s="61">
        <v>605206</v>
      </c>
      <c r="K67" s="61">
        <v>1394978.37</v>
      </c>
      <c r="L67" s="61">
        <f>K67-J67</f>
        <v>789772.3700000001</v>
      </c>
      <c r="M67" s="63">
        <f t="shared" si="3"/>
        <v>-1.2954356568250003</v>
      </c>
      <c r="N67" s="61">
        <f aca="true" t="shared" si="13" ref="N67:N72">K67-I67</f>
        <v>-10105021.629999999</v>
      </c>
      <c r="O67" s="63">
        <f t="shared" si="0"/>
        <v>0.12130246695652175</v>
      </c>
      <c r="P67" s="61">
        <f t="shared" si="11"/>
        <v>-158807.5399999998</v>
      </c>
      <c r="Q67" s="67"/>
    </row>
    <row r="68" spans="1:17" ht="15" customHeight="1" hidden="1" outlineLevel="3">
      <c r="A68" s="64" t="s">
        <v>112</v>
      </c>
      <c r="B68" s="65"/>
      <c r="C68" s="59" t="s">
        <v>23</v>
      </c>
      <c r="D68" s="60" t="s">
        <v>112</v>
      </c>
      <c r="E68" s="61"/>
      <c r="F68" s="61"/>
      <c r="G68" s="62">
        <f t="shared" si="12"/>
        <v>0</v>
      </c>
      <c r="H68" s="63" t="e">
        <f t="shared" si="10"/>
        <v>#DIV/0!</v>
      </c>
      <c r="I68" s="61"/>
      <c r="J68" s="61"/>
      <c r="K68" s="61"/>
      <c r="L68" s="61">
        <f>I68-G68</f>
        <v>0</v>
      </c>
      <c r="M68" s="63" t="e">
        <f t="shared" si="3"/>
        <v>#DIV/0!</v>
      </c>
      <c r="N68" s="61">
        <f t="shared" si="13"/>
        <v>0</v>
      </c>
      <c r="O68" s="63" t="e">
        <f t="shared" si="0"/>
        <v>#DIV/0!</v>
      </c>
      <c r="P68" s="61">
        <f t="shared" si="11"/>
        <v>0</v>
      </c>
      <c r="Q68" s="68"/>
    </row>
    <row r="69" spans="1:17" ht="114" customHeight="1" hidden="1" outlineLevel="4">
      <c r="A69" s="64" t="s">
        <v>113</v>
      </c>
      <c r="B69" s="65"/>
      <c r="C69" s="59" t="s">
        <v>114</v>
      </c>
      <c r="D69" s="60" t="s">
        <v>113</v>
      </c>
      <c r="E69" s="61"/>
      <c r="F69" s="61"/>
      <c r="G69" s="62">
        <f t="shared" si="12"/>
        <v>0</v>
      </c>
      <c r="H69" s="63" t="e">
        <f t="shared" si="10"/>
        <v>#DIV/0!</v>
      </c>
      <c r="I69" s="61"/>
      <c r="J69" s="61"/>
      <c r="K69" s="61"/>
      <c r="L69" s="61">
        <f>I69-G69</f>
        <v>0</v>
      </c>
      <c r="M69" s="63" t="e">
        <f t="shared" si="3"/>
        <v>#DIV/0!</v>
      </c>
      <c r="N69" s="61">
        <f t="shared" si="13"/>
        <v>0</v>
      </c>
      <c r="O69" s="63" t="e">
        <f t="shared" si="0"/>
        <v>#DIV/0!</v>
      </c>
      <c r="P69" s="61">
        <f t="shared" si="11"/>
        <v>0</v>
      </c>
      <c r="Q69" s="68"/>
    </row>
    <row r="70" spans="1:17" ht="128.25" customHeight="1" hidden="1" outlineLevel="5">
      <c r="A70" s="64" t="s">
        <v>113</v>
      </c>
      <c r="B70" s="65"/>
      <c r="C70" s="59" t="s">
        <v>115</v>
      </c>
      <c r="D70" s="60" t="s">
        <v>113</v>
      </c>
      <c r="E70" s="61"/>
      <c r="F70" s="61"/>
      <c r="G70" s="62">
        <f t="shared" si="12"/>
        <v>0</v>
      </c>
      <c r="H70" s="63" t="e">
        <f t="shared" si="10"/>
        <v>#DIV/0!</v>
      </c>
      <c r="I70" s="61"/>
      <c r="J70" s="61"/>
      <c r="K70" s="61"/>
      <c r="L70" s="61">
        <f>I70-G70</f>
        <v>0</v>
      </c>
      <c r="M70" s="63" t="e">
        <f t="shared" si="3"/>
        <v>#DIV/0!</v>
      </c>
      <c r="N70" s="61">
        <f t="shared" si="13"/>
        <v>0</v>
      </c>
      <c r="O70" s="63" t="e">
        <f t="shared" si="0"/>
        <v>#DIV/0!</v>
      </c>
      <c r="P70" s="61">
        <f t="shared" si="11"/>
        <v>0</v>
      </c>
      <c r="Q70" s="68"/>
    </row>
    <row r="71" spans="1:17" ht="171" customHeight="1" hidden="1" outlineLevel="5">
      <c r="A71" s="64" t="s">
        <v>116</v>
      </c>
      <c r="B71" s="65"/>
      <c r="C71" s="59" t="s">
        <v>117</v>
      </c>
      <c r="D71" s="60" t="s">
        <v>116</v>
      </c>
      <c r="E71" s="61"/>
      <c r="F71" s="61"/>
      <c r="G71" s="62">
        <f t="shared" si="12"/>
        <v>0</v>
      </c>
      <c r="H71" s="63" t="e">
        <f t="shared" si="10"/>
        <v>#DIV/0!</v>
      </c>
      <c r="I71" s="61"/>
      <c r="J71" s="61"/>
      <c r="K71" s="61"/>
      <c r="L71" s="61">
        <f>I71-G71</f>
        <v>0</v>
      </c>
      <c r="M71" s="63" t="e">
        <f t="shared" si="3"/>
        <v>#DIV/0!</v>
      </c>
      <c r="N71" s="61">
        <f t="shared" si="13"/>
        <v>0</v>
      </c>
      <c r="O71" s="63" t="e">
        <f t="shared" si="0"/>
        <v>#DIV/0!</v>
      </c>
      <c r="P71" s="61">
        <f t="shared" si="11"/>
        <v>0</v>
      </c>
      <c r="Q71" s="68"/>
    </row>
    <row r="72" spans="1:17" ht="78.75" customHeight="1" outlineLevel="2" collapsed="1">
      <c r="A72" s="64" t="s">
        <v>118</v>
      </c>
      <c r="B72" s="65" t="s">
        <v>119</v>
      </c>
      <c r="C72" s="59" t="s">
        <v>120</v>
      </c>
      <c r="D72" s="60" t="s">
        <v>118</v>
      </c>
      <c r="E72" s="62">
        <v>105000</v>
      </c>
      <c r="F72" s="62">
        <v>30000</v>
      </c>
      <c r="G72" s="62">
        <f t="shared" si="12"/>
        <v>-75000</v>
      </c>
      <c r="H72" s="63">
        <f t="shared" si="10"/>
        <v>0.2857142857142857</v>
      </c>
      <c r="I72" s="61">
        <v>35000</v>
      </c>
      <c r="J72" s="61"/>
      <c r="K72" s="62"/>
      <c r="L72" s="61">
        <f>K72-J72</f>
        <v>0</v>
      </c>
      <c r="M72" s="63">
        <f t="shared" si="3"/>
        <v>-0.4666666666666667</v>
      </c>
      <c r="N72" s="61">
        <f t="shared" si="13"/>
        <v>-35000</v>
      </c>
      <c r="O72" s="63">
        <f t="shared" si="0"/>
        <v>0</v>
      </c>
      <c r="P72" s="61">
        <f t="shared" si="11"/>
        <v>-30000</v>
      </c>
      <c r="Q72" s="66"/>
    </row>
    <row r="73" spans="1:17" ht="15" customHeight="1" hidden="1" outlineLevel="3">
      <c r="A73" s="64" t="s">
        <v>121</v>
      </c>
      <c r="B73" s="65"/>
      <c r="C73" s="59" t="s">
        <v>23</v>
      </c>
      <c r="D73" s="60" t="s">
        <v>121</v>
      </c>
      <c r="E73" s="61">
        <v>0</v>
      </c>
      <c r="F73" s="61">
        <v>0</v>
      </c>
      <c r="G73" s="62"/>
      <c r="H73" s="63" t="e">
        <f>E73/#REF!</f>
        <v>#REF!</v>
      </c>
      <c r="I73" s="61">
        <v>60000</v>
      </c>
      <c r="J73" s="61"/>
      <c r="K73" s="61">
        <v>0</v>
      </c>
      <c r="L73" s="61"/>
      <c r="M73" s="63" t="e">
        <f t="shared" si="3"/>
        <v>#DIV/0!</v>
      </c>
      <c r="N73" s="61"/>
      <c r="O73" s="63">
        <f t="shared" si="0"/>
        <v>0</v>
      </c>
      <c r="P73" s="61" t="e">
        <f>E73-#REF!</f>
        <v>#REF!</v>
      </c>
      <c r="Q73" s="68"/>
    </row>
    <row r="74" spans="1:17" ht="57" customHeight="1" hidden="1" outlineLevel="4">
      <c r="A74" s="64" t="s">
        <v>122</v>
      </c>
      <c r="B74" s="65"/>
      <c r="C74" s="59" t="s">
        <v>123</v>
      </c>
      <c r="D74" s="60" t="s">
        <v>122</v>
      </c>
      <c r="E74" s="61">
        <v>0</v>
      </c>
      <c r="F74" s="61">
        <v>0</v>
      </c>
      <c r="G74" s="62"/>
      <c r="H74" s="63" t="e">
        <f>E74/#REF!</f>
        <v>#REF!</v>
      </c>
      <c r="I74" s="61">
        <v>60000</v>
      </c>
      <c r="J74" s="61"/>
      <c r="K74" s="61">
        <v>0</v>
      </c>
      <c r="L74" s="61"/>
      <c r="M74" s="63" t="e">
        <f t="shared" si="3"/>
        <v>#DIV/0!</v>
      </c>
      <c r="N74" s="61"/>
      <c r="O74" s="63">
        <f t="shared" si="0"/>
        <v>0</v>
      </c>
      <c r="P74" s="61" t="e">
        <f>E74-#REF!</f>
        <v>#REF!</v>
      </c>
      <c r="Q74" s="68"/>
    </row>
    <row r="75" spans="1:17" ht="71.25" customHeight="1" hidden="1" outlineLevel="5">
      <c r="A75" s="64" t="s">
        <v>122</v>
      </c>
      <c r="B75" s="65"/>
      <c r="C75" s="59" t="s">
        <v>124</v>
      </c>
      <c r="D75" s="60" t="s">
        <v>122</v>
      </c>
      <c r="E75" s="51">
        <v>-23389.69</v>
      </c>
      <c r="F75" s="61">
        <v>0</v>
      </c>
      <c r="G75" s="62"/>
      <c r="H75" s="63" t="e">
        <f>E75/#REF!</f>
        <v>#REF!</v>
      </c>
      <c r="I75" s="61">
        <v>60000</v>
      </c>
      <c r="J75" s="61"/>
      <c r="K75" s="61">
        <v>0</v>
      </c>
      <c r="L75" s="61"/>
      <c r="M75" s="63" t="e">
        <f t="shared" si="3"/>
        <v>#DIV/0!</v>
      </c>
      <c r="N75" s="61"/>
      <c r="O75" s="63">
        <f t="shared" si="0"/>
        <v>0</v>
      </c>
      <c r="P75" s="61" t="e">
        <f>E75-#REF!</f>
        <v>#REF!</v>
      </c>
      <c r="Q75" s="68"/>
    </row>
    <row r="76" spans="1:17" s="32" customFormat="1" ht="83.25" customHeight="1" outlineLevel="1" collapsed="1">
      <c r="A76" s="24" t="s">
        <v>125</v>
      </c>
      <c r="B76" s="48" t="s">
        <v>126</v>
      </c>
      <c r="C76" s="49" t="s">
        <v>127</v>
      </c>
      <c r="D76" s="50" t="s">
        <v>125</v>
      </c>
      <c r="E76" s="51">
        <v>-23389.69</v>
      </c>
      <c r="F76" s="51">
        <v>3022</v>
      </c>
      <c r="G76" s="58">
        <f>F76-E76</f>
        <v>26411.69</v>
      </c>
      <c r="H76" s="54">
        <f>F76/E76</f>
        <v>-0.12920222542496287</v>
      </c>
      <c r="I76" s="51"/>
      <c r="J76" s="51"/>
      <c r="K76" s="51">
        <v>-103274</v>
      </c>
      <c r="L76" s="51">
        <f>K76-J76</f>
        <v>-103274</v>
      </c>
      <c r="M76" s="54"/>
      <c r="N76" s="51"/>
      <c r="O76" s="54"/>
      <c r="P76" s="51">
        <f>K76-F76</f>
        <v>-106296</v>
      </c>
      <c r="Q76" s="56"/>
    </row>
    <row r="77" spans="1:17" s="32" customFormat="1" ht="15.75" customHeight="1" hidden="1" outlineLevel="3">
      <c r="A77" s="24" t="s">
        <v>128</v>
      </c>
      <c r="B77" s="48"/>
      <c r="C77" s="49" t="s">
        <v>23</v>
      </c>
      <c r="D77" s="50" t="s">
        <v>128</v>
      </c>
      <c r="E77" s="51">
        <v>78.92</v>
      </c>
      <c r="F77" s="51">
        <v>78.92</v>
      </c>
      <c r="G77" s="58"/>
      <c r="H77" s="54" t="e">
        <f>E77/#REF!</f>
        <v>#REF!</v>
      </c>
      <c r="I77" s="51">
        <v>0</v>
      </c>
      <c r="J77" s="51"/>
      <c r="K77" s="51">
        <v>78.92</v>
      </c>
      <c r="L77" s="51"/>
      <c r="M77" s="54" t="e">
        <f>I77/G77</f>
        <v>#DIV/0!</v>
      </c>
      <c r="N77" s="51"/>
      <c r="O77" s="54" t="e">
        <f t="shared" si="0"/>
        <v>#DIV/0!</v>
      </c>
      <c r="P77" s="51" t="e">
        <f>E77-#REF!</f>
        <v>#REF!</v>
      </c>
      <c r="Q77" s="69"/>
    </row>
    <row r="78" spans="1:17" s="32" customFormat="1" ht="180" customHeight="1" hidden="1" outlineLevel="4">
      <c r="A78" s="24" t="s">
        <v>129</v>
      </c>
      <c r="B78" s="48"/>
      <c r="C78" s="49" t="s">
        <v>130</v>
      </c>
      <c r="D78" s="50" t="s">
        <v>129</v>
      </c>
      <c r="E78" s="51">
        <v>78.92</v>
      </c>
      <c r="F78" s="51">
        <v>78.92</v>
      </c>
      <c r="G78" s="58"/>
      <c r="H78" s="54" t="e">
        <f>E78/#REF!</f>
        <v>#REF!</v>
      </c>
      <c r="I78" s="51">
        <v>0</v>
      </c>
      <c r="J78" s="51"/>
      <c r="K78" s="51">
        <v>78.92</v>
      </c>
      <c r="L78" s="51"/>
      <c r="M78" s="54" t="e">
        <f>I78/G78</f>
        <v>#DIV/0!</v>
      </c>
      <c r="N78" s="51"/>
      <c r="O78" s="54" t="e">
        <f t="shared" si="0"/>
        <v>#DIV/0!</v>
      </c>
      <c r="P78" s="51" t="e">
        <f>E78-#REF!</f>
        <v>#REF!</v>
      </c>
      <c r="Q78" s="69"/>
    </row>
    <row r="79" spans="1:17" s="32" customFormat="1" ht="180" customHeight="1" hidden="1" outlineLevel="5">
      <c r="A79" s="24" t="s">
        <v>131</v>
      </c>
      <c r="B79" s="48"/>
      <c r="C79" s="49" t="s">
        <v>132</v>
      </c>
      <c r="D79" s="50" t="s">
        <v>131</v>
      </c>
      <c r="E79" s="72">
        <f>E80+E89+E105+E108+E111+E112</f>
        <v>106887173.90000002</v>
      </c>
      <c r="F79" s="51">
        <v>78.92</v>
      </c>
      <c r="G79" s="58"/>
      <c r="H79" s="54" t="e">
        <f>E79/#REF!</f>
        <v>#REF!</v>
      </c>
      <c r="I79" s="51">
        <v>0</v>
      </c>
      <c r="J79" s="51"/>
      <c r="K79" s="51">
        <v>78.92</v>
      </c>
      <c r="L79" s="51"/>
      <c r="M79" s="54" t="e">
        <f>I79/G79</f>
        <v>#DIV/0!</v>
      </c>
      <c r="N79" s="51"/>
      <c r="O79" s="54" t="e">
        <f>K79/I79</f>
        <v>#DIV/0!</v>
      </c>
      <c r="P79" s="51" t="e">
        <f>E79-#REF!</f>
        <v>#REF!</v>
      </c>
      <c r="Q79" s="69"/>
    </row>
    <row r="80" spans="1:17" s="32" customFormat="1" ht="39" customHeight="1" outlineLevel="5">
      <c r="A80" s="24"/>
      <c r="B80" s="48" t="s">
        <v>133</v>
      </c>
      <c r="C80" s="70" t="s">
        <v>134</v>
      </c>
      <c r="D80" s="71"/>
      <c r="E80" s="72">
        <f>E81+E90+E106+E109+E112+E113</f>
        <v>73494552.89</v>
      </c>
      <c r="F80" s="72">
        <f>F81+F90+F106+F109+F112+F113</f>
        <v>7746148.95</v>
      </c>
      <c r="G80" s="72">
        <f>G81+G90+G106+G109+G112+G113</f>
        <v>-64098219.66</v>
      </c>
      <c r="H80" s="72">
        <f>F80/E80</f>
        <v>0.1053975926840964</v>
      </c>
      <c r="I80" s="72">
        <f>I81+I90+I106+I109+I112+I113</f>
        <v>60969508.61</v>
      </c>
      <c r="J80" s="72">
        <f>J81+J90+J106+J109+J112+J113</f>
        <v>2230316.48</v>
      </c>
      <c r="K80" s="72">
        <f>K81+K90+K106+K109+K112+K113</f>
        <v>12384615.74</v>
      </c>
      <c r="L80" s="72">
        <f>K80-J80</f>
        <v>10154299.26</v>
      </c>
      <c r="M80" s="72" t="e">
        <f>M81+M90+M106+M109+M112+M113</f>
        <v>#DIV/0!</v>
      </c>
      <c r="N80" s="72">
        <f>N81+N90+N106+N109+N112+N113</f>
        <v>-48584892.870000005</v>
      </c>
      <c r="O80" s="72">
        <f>O81+O90+O106+O109+O112+O113</f>
        <v>4.897446378797594</v>
      </c>
      <c r="P80" s="72">
        <f>K80-F80</f>
        <v>4638466.79</v>
      </c>
      <c r="Q80" s="56"/>
    </row>
    <row r="81" spans="1:17" s="32" customFormat="1" ht="72" customHeight="1" outlineLevel="1">
      <c r="A81" s="24" t="s">
        <v>135</v>
      </c>
      <c r="B81" s="48" t="s">
        <v>136</v>
      </c>
      <c r="C81" s="49" t="s">
        <v>137</v>
      </c>
      <c r="D81" s="50" t="s">
        <v>135</v>
      </c>
      <c r="E81" s="51">
        <f>E82+E83+E84+E85+E89</f>
        <v>37416244.75</v>
      </c>
      <c r="F81" s="51">
        <f>F82+F83+F84+F85+F89</f>
        <v>2028174.3199999998</v>
      </c>
      <c r="G81" s="58">
        <f>G82+G83+G85+G89</f>
        <v>-35329590.15</v>
      </c>
      <c r="H81" s="54">
        <f>F81/E81</f>
        <v>0.054205715553536406</v>
      </c>
      <c r="I81" s="51">
        <f>I82+I83+I84+I85+I89</f>
        <v>26290475.19</v>
      </c>
      <c r="J81" s="51">
        <f>J82+J83+J84+J85+J89</f>
        <v>859800</v>
      </c>
      <c r="K81" s="51">
        <f>K82+K83+K84+K85+K89</f>
        <v>2837134.42</v>
      </c>
      <c r="L81" s="51">
        <f>K81-J81</f>
        <v>1977334.42</v>
      </c>
      <c r="M81" s="54">
        <f>I81/G81</f>
        <v>-0.7441488870484393</v>
      </c>
      <c r="N81" s="51">
        <f>N82+N83+N84+N85+N89</f>
        <v>-23453340.770000003</v>
      </c>
      <c r="O81" s="54">
        <f aca="true" t="shared" si="14" ref="O81:O127">K81/I81</f>
        <v>0.10791491593423724</v>
      </c>
      <c r="P81" s="51">
        <f>K81-F81</f>
        <v>808960.1000000001</v>
      </c>
      <c r="Q81" s="56"/>
    </row>
    <row r="82" spans="1:17" ht="66.75" customHeight="1" outlineLevel="4">
      <c r="A82" s="64" t="s">
        <v>138</v>
      </c>
      <c r="B82" s="65" t="s">
        <v>139</v>
      </c>
      <c r="C82" s="59" t="s">
        <v>140</v>
      </c>
      <c r="D82" s="60" t="s">
        <v>138</v>
      </c>
      <c r="E82" s="61">
        <v>24363527.29</v>
      </c>
      <c r="F82" s="61">
        <v>745712.46</v>
      </c>
      <c r="G82" s="62">
        <f>F82-E82</f>
        <v>-23617814.83</v>
      </c>
      <c r="H82" s="63">
        <f>F82/E82</f>
        <v>0.03060773799802286</v>
      </c>
      <c r="I82" s="61">
        <v>15000000</v>
      </c>
      <c r="J82" s="61">
        <v>350000</v>
      </c>
      <c r="K82" s="61">
        <v>1926802.44</v>
      </c>
      <c r="L82" s="61">
        <f>K82-J82</f>
        <v>1576802.44</v>
      </c>
      <c r="M82" s="63">
        <f>I82/G82</f>
        <v>-0.6351137947337357</v>
      </c>
      <c r="N82" s="61">
        <f>K82-I82</f>
        <v>-13073197.56</v>
      </c>
      <c r="O82" s="63">
        <f t="shared" si="14"/>
        <v>0.128453496</v>
      </c>
      <c r="P82" s="61">
        <f>K82-F82</f>
        <v>1181089.98</v>
      </c>
      <c r="Q82" s="66" t="s">
        <v>268</v>
      </c>
    </row>
    <row r="83" spans="1:17" ht="61.5" customHeight="1" outlineLevel="4">
      <c r="A83" s="64" t="s">
        <v>141</v>
      </c>
      <c r="B83" s="65" t="s">
        <v>142</v>
      </c>
      <c r="C83" s="59" t="s">
        <v>143</v>
      </c>
      <c r="D83" s="60" t="s">
        <v>141</v>
      </c>
      <c r="E83" s="61">
        <v>977974.72</v>
      </c>
      <c r="F83" s="61">
        <v>179754.85</v>
      </c>
      <c r="G83" s="62">
        <f aca="true" t="shared" si="15" ref="G83:G89">F83-E83</f>
        <v>-798219.87</v>
      </c>
      <c r="H83" s="63">
        <f aca="true" t="shared" si="16" ref="H83:H89">F83/E83</f>
        <v>0.18380316620045148</v>
      </c>
      <c r="I83" s="61">
        <v>987235.05</v>
      </c>
      <c r="J83" s="61">
        <v>109800</v>
      </c>
      <c r="K83" s="61">
        <v>162446.23</v>
      </c>
      <c r="L83" s="61">
        <f aca="true" t="shared" si="17" ref="L83:L89">K83-J83</f>
        <v>52646.23000000001</v>
      </c>
      <c r="M83" s="63">
        <f>I83/G83</f>
        <v>-1.2367958843219475</v>
      </c>
      <c r="N83" s="61">
        <f aca="true" t="shared" si="18" ref="N83:N89">K83-I83</f>
        <v>-824788.8200000001</v>
      </c>
      <c r="O83" s="63">
        <f t="shared" si="14"/>
        <v>0.16454665988611325</v>
      </c>
      <c r="P83" s="61">
        <f aca="true" t="shared" si="19" ref="P83:P89">K83-F83</f>
        <v>-17308.619999999995</v>
      </c>
      <c r="Q83" s="66"/>
    </row>
    <row r="84" spans="1:17" ht="108" customHeight="1" outlineLevel="4">
      <c r="A84" s="64"/>
      <c r="B84" s="65" t="s">
        <v>144</v>
      </c>
      <c r="C84" s="59" t="s">
        <v>145</v>
      </c>
      <c r="D84" s="60" t="s">
        <v>146</v>
      </c>
      <c r="E84" s="61">
        <v>58480.28</v>
      </c>
      <c r="F84" s="61"/>
      <c r="G84" s="62">
        <f t="shared" si="15"/>
        <v>-58480.28</v>
      </c>
      <c r="H84" s="63">
        <f t="shared" si="16"/>
        <v>0</v>
      </c>
      <c r="I84" s="61">
        <v>29240.14</v>
      </c>
      <c r="J84" s="61"/>
      <c r="K84" s="61"/>
      <c r="L84" s="61">
        <f t="shared" si="17"/>
        <v>0</v>
      </c>
      <c r="M84" s="63"/>
      <c r="N84" s="61">
        <f t="shared" si="18"/>
        <v>-29240.14</v>
      </c>
      <c r="O84" s="63"/>
      <c r="P84" s="61"/>
      <c r="Q84" s="73" t="s">
        <v>147</v>
      </c>
    </row>
    <row r="85" spans="1:17" ht="38.25" customHeight="1" outlineLevel="2">
      <c r="A85" s="64" t="s">
        <v>148</v>
      </c>
      <c r="B85" s="65" t="s">
        <v>149</v>
      </c>
      <c r="C85" s="59" t="s">
        <v>150</v>
      </c>
      <c r="D85" s="60" t="s">
        <v>148</v>
      </c>
      <c r="E85" s="62">
        <v>5843542.64</v>
      </c>
      <c r="F85" s="62"/>
      <c r="G85" s="62">
        <f t="shared" si="15"/>
        <v>-5843542.64</v>
      </c>
      <c r="H85" s="63">
        <f t="shared" si="16"/>
        <v>0</v>
      </c>
      <c r="I85" s="61">
        <v>4966000</v>
      </c>
      <c r="J85" s="61"/>
      <c r="K85" s="62"/>
      <c r="L85" s="61">
        <f t="shared" si="17"/>
        <v>0</v>
      </c>
      <c r="M85" s="63">
        <f aca="true" t="shared" si="20" ref="M85:M112">I85/G85</f>
        <v>-0.8498269467577634</v>
      </c>
      <c r="N85" s="61">
        <f t="shared" si="18"/>
        <v>-4966000</v>
      </c>
      <c r="O85" s="63">
        <f t="shared" si="14"/>
        <v>0</v>
      </c>
      <c r="P85" s="61">
        <f t="shared" si="19"/>
        <v>0</v>
      </c>
      <c r="Q85" s="66" t="s">
        <v>257</v>
      </c>
    </row>
    <row r="86" spans="1:17" ht="15" customHeight="1" hidden="1" outlineLevel="3">
      <c r="A86" s="64" t="s">
        <v>151</v>
      </c>
      <c r="B86" s="65"/>
      <c r="C86" s="59" t="s">
        <v>23</v>
      </c>
      <c r="D86" s="60" t="s">
        <v>151</v>
      </c>
      <c r="E86" s="61"/>
      <c r="F86" s="61"/>
      <c r="G86" s="62">
        <f t="shared" si="15"/>
        <v>0</v>
      </c>
      <c r="H86" s="63" t="e">
        <f t="shared" si="16"/>
        <v>#DIV/0!</v>
      </c>
      <c r="I86" s="61"/>
      <c r="J86" s="61"/>
      <c r="K86" s="61"/>
      <c r="L86" s="61">
        <f t="shared" si="17"/>
        <v>0</v>
      </c>
      <c r="M86" s="63" t="e">
        <f t="shared" si="20"/>
        <v>#DIV/0!</v>
      </c>
      <c r="N86" s="61">
        <f t="shared" si="18"/>
        <v>0</v>
      </c>
      <c r="O86" s="63" t="e">
        <f t="shared" si="14"/>
        <v>#DIV/0!</v>
      </c>
      <c r="P86" s="61">
        <f t="shared" si="19"/>
        <v>0</v>
      </c>
      <c r="Q86" s="68"/>
    </row>
    <row r="87" spans="1:17" ht="128.25" customHeight="1" hidden="1" outlineLevel="4">
      <c r="A87" s="64" t="s">
        <v>152</v>
      </c>
      <c r="B87" s="65"/>
      <c r="C87" s="59" t="s">
        <v>153</v>
      </c>
      <c r="D87" s="60" t="s">
        <v>152</v>
      </c>
      <c r="E87" s="61"/>
      <c r="F87" s="61"/>
      <c r="G87" s="62">
        <f t="shared" si="15"/>
        <v>0</v>
      </c>
      <c r="H87" s="63" t="e">
        <f t="shared" si="16"/>
        <v>#DIV/0!</v>
      </c>
      <c r="I87" s="61"/>
      <c r="J87" s="61"/>
      <c r="K87" s="61"/>
      <c r="L87" s="61">
        <f t="shared" si="17"/>
        <v>0</v>
      </c>
      <c r="M87" s="63" t="e">
        <f t="shared" si="20"/>
        <v>#DIV/0!</v>
      </c>
      <c r="N87" s="61">
        <f t="shared" si="18"/>
        <v>0</v>
      </c>
      <c r="O87" s="63" t="e">
        <f t="shared" si="14"/>
        <v>#DIV/0!</v>
      </c>
      <c r="P87" s="61">
        <f t="shared" si="19"/>
        <v>0</v>
      </c>
      <c r="Q87" s="68"/>
    </row>
    <row r="88" spans="1:17" ht="128.25" customHeight="1" hidden="1" outlineLevel="5">
      <c r="A88" s="64" t="s">
        <v>152</v>
      </c>
      <c r="B88" s="65"/>
      <c r="C88" s="59" t="s">
        <v>154</v>
      </c>
      <c r="D88" s="60" t="s">
        <v>152</v>
      </c>
      <c r="E88" s="61"/>
      <c r="F88" s="61"/>
      <c r="G88" s="62">
        <f t="shared" si="15"/>
        <v>0</v>
      </c>
      <c r="H88" s="63" t="e">
        <f t="shared" si="16"/>
        <v>#DIV/0!</v>
      </c>
      <c r="I88" s="61"/>
      <c r="J88" s="61"/>
      <c r="K88" s="61"/>
      <c r="L88" s="61">
        <f t="shared" si="17"/>
        <v>0</v>
      </c>
      <c r="M88" s="63" t="e">
        <f t="shared" si="20"/>
        <v>#DIV/0!</v>
      </c>
      <c r="N88" s="61">
        <f t="shared" si="18"/>
        <v>0</v>
      </c>
      <c r="O88" s="63" t="e">
        <f t="shared" si="14"/>
        <v>#DIV/0!</v>
      </c>
      <c r="P88" s="61">
        <f t="shared" si="19"/>
        <v>0</v>
      </c>
      <c r="Q88" s="68"/>
    </row>
    <row r="89" spans="1:17" ht="69.75" customHeight="1" outlineLevel="2" collapsed="1">
      <c r="A89" s="64" t="s">
        <v>155</v>
      </c>
      <c r="B89" s="65" t="s">
        <v>156</v>
      </c>
      <c r="C89" s="59" t="s">
        <v>157</v>
      </c>
      <c r="D89" s="60" t="s">
        <v>155</v>
      </c>
      <c r="E89" s="61">
        <v>6172719.82</v>
      </c>
      <c r="F89" s="61">
        <v>1102707.01</v>
      </c>
      <c r="G89" s="62">
        <f t="shared" si="15"/>
        <v>-5070012.8100000005</v>
      </c>
      <c r="H89" s="63">
        <f t="shared" si="16"/>
        <v>0.17864199933830788</v>
      </c>
      <c r="I89" s="61">
        <v>5308000</v>
      </c>
      <c r="J89" s="61">
        <v>400000</v>
      </c>
      <c r="K89" s="61">
        <v>747885.75</v>
      </c>
      <c r="L89" s="61">
        <f t="shared" si="17"/>
        <v>347885.75</v>
      </c>
      <c r="M89" s="63">
        <f t="shared" si="20"/>
        <v>-1.0469401555614608</v>
      </c>
      <c r="N89" s="61">
        <f t="shared" si="18"/>
        <v>-4560114.25</v>
      </c>
      <c r="O89" s="63">
        <f t="shared" si="14"/>
        <v>0.1408978428786737</v>
      </c>
      <c r="P89" s="61">
        <f t="shared" si="19"/>
        <v>-354821.26</v>
      </c>
      <c r="Q89" s="66"/>
    </row>
    <row r="90" spans="1:17" s="32" customFormat="1" ht="98.25" customHeight="1" outlineLevel="1">
      <c r="A90" s="24" t="s">
        <v>158</v>
      </c>
      <c r="B90" s="48" t="s">
        <v>159</v>
      </c>
      <c r="C90" s="49" t="s">
        <v>160</v>
      </c>
      <c r="D90" s="50" t="s">
        <v>158</v>
      </c>
      <c r="E90" s="51">
        <v>485335.25</v>
      </c>
      <c r="F90" s="51">
        <v>12235.31</v>
      </c>
      <c r="G90" s="58">
        <f>F90-E90</f>
        <v>-473099.94</v>
      </c>
      <c r="H90" s="54">
        <f>F90/E90</f>
        <v>0.025210017199451307</v>
      </c>
      <c r="I90" s="51">
        <v>231800</v>
      </c>
      <c r="J90" s="51">
        <v>0</v>
      </c>
      <c r="K90" s="51">
        <v>106102.95</v>
      </c>
      <c r="L90" s="51">
        <f>K90-J90</f>
        <v>106102.95</v>
      </c>
      <c r="M90" s="54">
        <f t="shared" si="20"/>
        <v>-0.4899599014956544</v>
      </c>
      <c r="N90" s="51">
        <f>K90-I90</f>
        <v>-125697.05</v>
      </c>
      <c r="O90" s="54">
        <f t="shared" si="14"/>
        <v>0.4577349007765315</v>
      </c>
      <c r="P90" s="51">
        <f>K90-F90</f>
        <v>93867.64</v>
      </c>
      <c r="Q90" s="74"/>
    </row>
    <row r="91" spans="1:17" s="32" customFormat="1" ht="15.75" customHeight="1" hidden="1" outlineLevel="3">
      <c r="A91" s="24" t="s">
        <v>161</v>
      </c>
      <c r="B91" s="48"/>
      <c r="C91" s="49" t="s">
        <v>23</v>
      </c>
      <c r="D91" s="50" t="s">
        <v>161</v>
      </c>
      <c r="E91" s="51">
        <v>2890.68</v>
      </c>
      <c r="F91" s="51">
        <v>2890.68</v>
      </c>
      <c r="G91" s="58"/>
      <c r="H91" s="54">
        <f aca="true" t="shared" si="21" ref="H91:H130">F91/E91</f>
        <v>1</v>
      </c>
      <c r="I91" s="51">
        <v>33800</v>
      </c>
      <c r="J91" s="51"/>
      <c r="K91" s="51">
        <v>2890.68</v>
      </c>
      <c r="L91" s="51">
        <f aca="true" t="shared" si="22" ref="L91:L120">K91-J91</f>
        <v>2890.68</v>
      </c>
      <c r="M91" s="54" t="e">
        <f t="shared" si="20"/>
        <v>#DIV/0!</v>
      </c>
      <c r="N91" s="51">
        <f aca="true" t="shared" si="23" ref="N91:N106">K91-I91</f>
        <v>-30909.32</v>
      </c>
      <c r="O91" s="54">
        <f t="shared" si="14"/>
        <v>0.08552307692307692</v>
      </c>
      <c r="P91" s="51">
        <f aca="true" t="shared" si="24" ref="P91:P130">K91-F91</f>
        <v>0</v>
      </c>
      <c r="Q91" s="69"/>
    </row>
    <row r="92" spans="1:17" s="32" customFormat="1" ht="90" customHeight="1" hidden="1" outlineLevel="4">
      <c r="A92" s="24" t="s">
        <v>162</v>
      </c>
      <c r="B92" s="48"/>
      <c r="C92" s="49" t="s">
        <v>163</v>
      </c>
      <c r="D92" s="50" t="s">
        <v>162</v>
      </c>
      <c r="E92" s="51">
        <v>0</v>
      </c>
      <c r="F92" s="51">
        <v>2890.68</v>
      </c>
      <c r="G92" s="58"/>
      <c r="H92" s="54" t="e">
        <f t="shared" si="21"/>
        <v>#DIV/0!</v>
      </c>
      <c r="I92" s="51">
        <v>33800</v>
      </c>
      <c r="J92" s="51"/>
      <c r="K92" s="51">
        <v>2890.68</v>
      </c>
      <c r="L92" s="51">
        <f t="shared" si="22"/>
        <v>2890.68</v>
      </c>
      <c r="M92" s="54" t="e">
        <f t="shared" si="20"/>
        <v>#DIV/0!</v>
      </c>
      <c r="N92" s="51">
        <f t="shared" si="23"/>
        <v>-30909.32</v>
      </c>
      <c r="O92" s="54">
        <f t="shared" si="14"/>
        <v>0.08552307692307692</v>
      </c>
      <c r="P92" s="51">
        <f t="shared" si="24"/>
        <v>0</v>
      </c>
      <c r="Q92" s="69"/>
    </row>
    <row r="93" spans="1:17" s="32" customFormat="1" ht="90" customHeight="1" hidden="1" outlineLevel="5">
      <c r="A93" s="24" t="s">
        <v>162</v>
      </c>
      <c r="B93" s="48"/>
      <c r="C93" s="49" t="s">
        <v>164</v>
      </c>
      <c r="D93" s="50" t="s">
        <v>162</v>
      </c>
      <c r="E93" s="51">
        <v>2890.68</v>
      </c>
      <c r="F93" s="51">
        <v>0</v>
      </c>
      <c r="G93" s="58"/>
      <c r="H93" s="54">
        <f t="shared" si="21"/>
        <v>0</v>
      </c>
      <c r="I93" s="51">
        <v>33800</v>
      </c>
      <c r="J93" s="51"/>
      <c r="K93" s="51">
        <v>0</v>
      </c>
      <c r="L93" s="51">
        <f t="shared" si="22"/>
        <v>0</v>
      </c>
      <c r="M93" s="54" t="e">
        <f t="shared" si="20"/>
        <v>#DIV/0!</v>
      </c>
      <c r="N93" s="51">
        <f t="shared" si="23"/>
        <v>-33800</v>
      </c>
      <c r="O93" s="54">
        <f t="shared" si="14"/>
        <v>0</v>
      </c>
      <c r="P93" s="51">
        <f t="shared" si="24"/>
        <v>0</v>
      </c>
      <c r="Q93" s="69"/>
    </row>
    <row r="94" spans="1:17" s="32" customFormat="1" ht="90" customHeight="1" hidden="1" outlineLevel="5">
      <c r="A94" s="24" t="s">
        <v>165</v>
      </c>
      <c r="B94" s="48"/>
      <c r="C94" s="49" t="s">
        <v>164</v>
      </c>
      <c r="D94" s="50" t="s">
        <v>165</v>
      </c>
      <c r="E94" s="51">
        <v>53.23</v>
      </c>
      <c r="F94" s="51">
        <v>2890.68</v>
      </c>
      <c r="G94" s="58"/>
      <c r="H94" s="54">
        <f t="shared" si="21"/>
        <v>54.30546684200639</v>
      </c>
      <c r="I94" s="51">
        <v>0</v>
      </c>
      <c r="J94" s="51"/>
      <c r="K94" s="51">
        <v>2890.68</v>
      </c>
      <c r="L94" s="51">
        <f t="shared" si="22"/>
        <v>2890.68</v>
      </c>
      <c r="M94" s="54" t="e">
        <f t="shared" si="20"/>
        <v>#DIV/0!</v>
      </c>
      <c r="N94" s="51">
        <f t="shared" si="23"/>
        <v>2890.68</v>
      </c>
      <c r="O94" s="54" t="e">
        <f t="shared" si="14"/>
        <v>#DIV/0!</v>
      </c>
      <c r="P94" s="51">
        <f t="shared" si="24"/>
        <v>0</v>
      </c>
      <c r="Q94" s="69"/>
    </row>
    <row r="95" spans="1:17" s="32" customFormat="1" ht="15.75" customHeight="1" hidden="1" outlineLevel="3">
      <c r="A95" s="24" t="s">
        <v>166</v>
      </c>
      <c r="B95" s="48"/>
      <c r="C95" s="49" t="s">
        <v>23</v>
      </c>
      <c r="D95" s="50" t="s">
        <v>166</v>
      </c>
      <c r="E95" s="51">
        <v>53.23</v>
      </c>
      <c r="F95" s="51">
        <v>53.23</v>
      </c>
      <c r="G95" s="58"/>
      <c r="H95" s="54">
        <f t="shared" si="21"/>
        <v>1</v>
      </c>
      <c r="I95" s="51">
        <v>0</v>
      </c>
      <c r="J95" s="51"/>
      <c r="K95" s="51">
        <v>53.23</v>
      </c>
      <c r="L95" s="51">
        <f t="shared" si="22"/>
        <v>53.23</v>
      </c>
      <c r="M95" s="54" t="e">
        <f t="shared" si="20"/>
        <v>#DIV/0!</v>
      </c>
      <c r="N95" s="51">
        <f t="shared" si="23"/>
        <v>53.23</v>
      </c>
      <c r="O95" s="54" t="e">
        <f t="shared" si="14"/>
        <v>#DIV/0!</v>
      </c>
      <c r="P95" s="51">
        <f t="shared" si="24"/>
        <v>0</v>
      </c>
      <c r="Q95" s="69"/>
    </row>
    <row r="96" spans="1:17" s="32" customFormat="1" ht="90" customHeight="1" hidden="1" outlineLevel="4">
      <c r="A96" s="24" t="s">
        <v>167</v>
      </c>
      <c r="B96" s="48"/>
      <c r="C96" s="49" t="s">
        <v>168</v>
      </c>
      <c r="D96" s="50" t="s">
        <v>167</v>
      </c>
      <c r="E96" s="51">
        <v>53.23</v>
      </c>
      <c r="F96" s="51">
        <v>53.23</v>
      </c>
      <c r="G96" s="58"/>
      <c r="H96" s="54">
        <f t="shared" si="21"/>
        <v>1</v>
      </c>
      <c r="I96" s="51">
        <v>0</v>
      </c>
      <c r="J96" s="51"/>
      <c r="K96" s="51">
        <v>53.23</v>
      </c>
      <c r="L96" s="51">
        <f t="shared" si="22"/>
        <v>53.23</v>
      </c>
      <c r="M96" s="54" t="e">
        <f t="shared" si="20"/>
        <v>#DIV/0!</v>
      </c>
      <c r="N96" s="51">
        <f t="shared" si="23"/>
        <v>53.23</v>
      </c>
      <c r="O96" s="54" t="e">
        <f t="shared" si="14"/>
        <v>#DIV/0!</v>
      </c>
      <c r="P96" s="51">
        <f t="shared" si="24"/>
        <v>0</v>
      </c>
      <c r="Q96" s="69"/>
    </row>
    <row r="97" spans="1:17" s="32" customFormat="1" ht="90" customHeight="1" hidden="1" outlineLevel="5">
      <c r="A97" s="24" t="s">
        <v>169</v>
      </c>
      <c r="B97" s="48"/>
      <c r="C97" s="49" t="s">
        <v>170</v>
      </c>
      <c r="D97" s="50" t="s">
        <v>169</v>
      </c>
      <c r="E97" s="51">
        <v>481.81</v>
      </c>
      <c r="F97" s="51">
        <v>53.23</v>
      </c>
      <c r="G97" s="58"/>
      <c r="H97" s="54">
        <f t="shared" si="21"/>
        <v>0.11047923455303957</v>
      </c>
      <c r="I97" s="51">
        <v>0</v>
      </c>
      <c r="J97" s="51"/>
      <c r="K97" s="51">
        <v>53.23</v>
      </c>
      <c r="L97" s="51">
        <f t="shared" si="22"/>
        <v>53.23</v>
      </c>
      <c r="M97" s="54" t="e">
        <f t="shared" si="20"/>
        <v>#DIV/0!</v>
      </c>
      <c r="N97" s="51">
        <f t="shared" si="23"/>
        <v>53.23</v>
      </c>
      <c r="O97" s="54" t="e">
        <f t="shared" si="14"/>
        <v>#DIV/0!</v>
      </c>
      <c r="P97" s="51">
        <f t="shared" si="24"/>
        <v>0</v>
      </c>
      <c r="Q97" s="69"/>
    </row>
    <row r="98" spans="1:17" s="32" customFormat="1" ht="15.75" customHeight="1" hidden="1" outlineLevel="3">
      <c r="A98" s="24" t="s">
        <v>171</v>
      </c>
      <c r="B98" s="48"/>
      <c r="C98" s="49" t="s">
        <v>23</v>
      </c>
      <c r="D98" s="50" t="s">
        <v>171</v>
      </c>
      <c r="E98" s="51">
        <v>481.81</v>
      </c>
      <c r="F98" s="51">
        <v>481.81</v>
      </c>
      <c r="G98" s="58"/>
      <c r="H98" s="54">
        <f t="shared" si="21"/>
        <v>1</v>
      </c>
      <c r="I98" s="51">
        <v>59400</v>
      </c>
      <c r="J98" s="51"/>
      <c r="K98" s="51">
        <v>481.81</v>
      </c>
      <c r="L98" s="51">
        <f t="shared" si="22"/>
        <v>481.81</v>
      </c>
      <c r="M98" s="54" t="e">
        <f t="shared" si="20"/>
        <v>#DIV/0!</v>
      </c>
      <c r="N98" s="51">
        <f t="shared" si="23"/>
        <v>-58918.19</v>
      </c>
      <c r="O98" s="54">
        <f t="shared" si="14"/>
        <v>0.008111279461279462</v>
      </c>
      <c r="P98" s="51">
        <f t="shared" si="24"/>
        <v>0</v>
      </c>
      <c r="Q98" s="69"/>
    </row>
    <row r="99" spans="1:17" s="32" customFormat="1" ht="45" customHeight="1" hidden="1" outlineLevel="4">
      <c r="A99" s="24" t="s">
        <v>172</v>
      </c>
      <c r="B99" s="48"/>
      <c r="C99" s="49" t="s">
        <v>173</v>
      </c>
      <c r="D99" s="50" t="s">
        <v>172</v>
      </c>
      <c r="E99" s="51">
        <v>0</v>
      </c>
      <c r="F99" s="51">
        <v>481.81</v>
      </c>
      <c r="G99" s="58"/>
      <c r="H99" s="54" t="e">
        <f t="shared" si="21"/>
        <v>#DIV/0!</v>
      </c>
      <c r="I99" s="51">
        <v>59400</v>
      </c>
      <c r="J99" s="51"/>
      <c r="K99" s="51">
        <v>481.81</v>
      </c>
      <c r="L99" s="51">
        <f t="shared" si="22"/>
        <v>481.81</v>
      </c>
      <c r="M99" s="54" t="e">
        <f t="shared" si="20"/>
        <v>#DIV/0!</v>
      </c>
      <c r="N99" s="51">
        <f t="shared" si="23"/>
        <v>-58918.19</v>
      </c>
      <c r="O99" s="54">
        <f t="shared" si="14"/>
        <v>0.008111279461279462</v>
      </c>
      <c r="P99" s="51">
        <f t="shared" si="24"/>
        <v>0</v>
      </c>
      <c r="Q99" s="69"/>
    </row>
    <row r="100" spans="1:17" s="32" customFormat="1" ht="60" customHeight="1" hidden="1" outlineLevel="5">
      <c r="A100" s="24" t="s">
        <v>172</v>
      </c>
      <c r="B100" s="48"/>
      <c r="C100" s="49" t="s">
        <v>174</v>
      </c>
      <c r="D100" s="50" t="s">
        <v>172</v>
      </c>
      <c r="E100" s="51">
        <v>481.81</v>
      </c>
      <c r="F100" s="51">
        <v>0</v>
      </c>
      <c r="G100" s="58"/>
      <c r="H100" s="54">
        <f t="shared" si="21"/>
        <v>0</v>
      </c>
      <c r="I100" s="51">
        <v>59400</v>
      </c>
      <c r="J100" s="51"/>
      <c r="K100" s="51">
        <v>0</v>
      </c>
      <c r="L100" s="51">
        <f t="shared" si="22"/>
        <v>0</v>
      </c>
      <c r="M100" s="54" t="e">
        <f t="shared" si="20"/>
        <v>#DIV/0!</v>
      </c>
      <c r="N100" s="51">
        <f t="shared" si="23"/>
        <v>-59400</v>
      </c>
      <c r="O100" s="54">
        <f t="shared" si="14"/>
        <v>0</v>
      </c>
      <c r="P100" s="51">
        <f t="shared" si="24"/>
        <v>0</v>
      </c>
      <c r="Q100" s="69"/>
    </row>
    <row r="101" spans="1:17" s="32" customFormat="1" ht="60" customHeight="1" hidden="1" outlineLevel="5">
      <c r="A101" s="24" t="s">
        <v>175</v>
      </c>
      <c r="B101" s="48"/>
      <c r="C101" s="49" t="s">
        <v>176</v>
      </c>
      <c r="D101" s="50" t="s">
        <v>175</v>
      </c>
      <c r="E101" s="51">
        <v>39261.54</v>
      </c>
      <c r="F101" s="51">
        <v>481.81</v>
      </c>
      <c r="G101" s="58"/>
      <c r="H101" s="54">
        <f t="shared" si="21"/>
        <v>0.01227180594546215</v>
      </c>
      <c r="I101" s="51">
        <v>0</v>
      </c>
      <c r="J101" s="51"/>
      <c r="K101" s="51">
        <v>481.81</v>
      </c>
      <c r="L101" s="51">
        <f t="shared" si="22"/>
        <v>481.81</v>
      </c>
      <c r="M101" s="54" t="e">
        <f t="shared" si="20"/>
        <v>#DIV/0!</v>
      </c>
      <c r="N101" s="51">
        <f t="shared" si="23"/>
        <v>481.81</v>
      </c>
      <c r="O101" s="54" t="e">
        <f t="shared" si="14"/>
        <v>#DIV/0!</v>
      </c>
      <c r="P101" s="51">
        <f t="shared" si="24"/>
        <v>0</v>
      </c>
      <c r="Q101" s="69"/>
    </row>
    <row r="102" spans="1:17" s="32" customFormat="1" ht="15.75" customHeight="1" hidden="1" outlineLevel="3">
      <c r="A102" s="24" t="s">
        <v>177</v>
      </c>
      <c r="B102" s="48"/>
      <c r="C102" s="49" t="s">
        <v>23</v>
      </c>
      <c r="D102" s="50" t="s">
        <v>177</v>
      </c>
      <c r="E102" s="51">
        <v>39261.54</v>
      </c>
      <c r="F102" s="51">
        <v>39261.54</v>
      </c>
      <c r="G102" s="58"/>
      <c r="H102" s="54">
        <f t="shared" si="21"/>
        <v>1</v>
      </c>
      <c r="I102" s="51">
        <v>464900</v>
      </c>
      <c r="J102" s="51"/>
      <c r="K102" s="51">
        <v>39261.54</v>
      </c>
      <c r="L102" s="51">
        <f t="shared" si="22"/>
        <v>39261.54</v>
      </c>
      <c r="M102" s="54" t="e">
        <f t="shared" si="20"/>
        <v>#DIV/0!</v>
      </c>
      <c r="N102" s="51">
        <f t="shared" si="23"/>
        <v>-425638.46</v>
      </c>
      <c r="O102" s="54">
        <f t="shared" si="14"/>
        <v>0.0844515809851581</v>
      </c>
      <c r="P102" s="51">
        <f t="shared" si="24"/>
        <v>0</v>
      </c>
      <c r="Q102" s="69"/>
    </row>
    <row r="103" spans="1:17" s="32" customFormat="1" ht="60" customHeight="1" hidden="1" outlineLevel="4">
      <c r="A103" s="24" t="s">
        <v>178</v>
      </c>
      <c r="B103" s="48"/>
      <c r="C103" s="49" t="s">
        <v>179</v>
      </c>
      <c r="D103" s="50" t="s">
        <v>178</v>
      </c>
      <c r="E103" s="51">
        <v>0</v>
      </c>
      <c r="F103" s="51">
        <v>39261.54</v>
      </c>
      <c r="G103" s="58"/>
      <c r="H103" s="54" t="e">
        <f t="shared" si="21"/>
        <v>#DIV/0!</v>
      </c>
      <c r="I103" s="51">
        <v>464900</v>
      </c>
      <c r="J103" s="51"/>
      <c r="K103" s="51">
        <v>39261.54</v>
      </c>
      <c r="L103" s="51">
        <f t="shared" si="22"/>
        <v>39261.54</v>
      </c>
      <c r="M103" s="54" t="e">
        <f t="shared" si="20"/>
        <v>#DIV/0!</v>
      </c>
      <c r="N103" s="51">
        <f t="shared" si="23"/>
        <v>-425638.46</v>
      </c>
      <c r="O103" s="54">
        <f t="shared" si="14"/>
        <v>0.0844515809851581</v>
      </c>
      <c r="P103" s="51">
        <f t="shared" si="24"/>
        <v>0</v>
      </c>
      <c r="Q103" s="69"/>
    </row>
    <row r="104" spans="1:17" s="32" customFormat="1" ht="60" customHeight="1" hidden="1" outlineLevel="5">
      <c r="A104" s="24" t="s">
        <v>178</v>
      </c>
      <c r="B104" s="48"/>
      <c r="C104" s="49" t="s">
        <v>180</v>
      </c>
      <c r="D104" s="50" t="s">
        <v>178</v>
      </c>
      <c r="E104" s="51">
        <v>39261.54</v>
      </c>
      <c r="F104" s="51">
        <v>0</v>
      </c>
      <c r="G104" s="58"/>
      <c r="H104" s="54">
        <f t="shared" si="21"/>
        <v>0</v>
      </c>
      <c r="I104" s="51">
        <v>464900</v>
      </c>
      <c r="J104" s="51"/>
      <c r="K104" s="51">
        <v>0</v>
      </c>
      <c r="L104" s="51">
        <f t="shared" si="22"/>
        <v>0</v>
      </c>
      <c r="M104" s="54" t="e">
        <f t="shared" si="20"/>
        <v>#DIV/0!</v>
      </c>
      <c r="N104" s="51">
        <f t="shared" si="23"/>
        <v>-464900</v>
      </c>
      <c r="O104" s="54">
        <f t="shared" si="14"/>
        <v>0</v>
      </c>
      <c r="P104" s="51">
        <f t="shared" si="24"/>
        <v>0</v>
      </c>
      <c r="Q104" s="69"/>
    </row>
    <row r="105" spans="1:17" s="32" customFormat="1" ht="60" customHeight="1" hidden="1" outlineLevel="5">
      <c r="A105" s="24" t="s">
        <v>181</v>
      </c>
      <c r="B105" s="48"/>
      <c r="C105" s="49" t="s">
        <v>182</v>
      </c>
      <c r="D105" s="50" t="s">
        <v>181</v>
      </c>
      <c r="E105" s="51">
        <f>E106+E107</f>
        <v>10003098.77</v>
      </c>
      <c r="F105" s="51">
        <v>39261.54</v>
      </c>
      <c r="G105" s="58"/>
      <c r="H105" s="54">
        <f t="shared" si="21"/>
        <v>0.003924937752064204</v>
      </c>
      <c r="I105" s="51">
        <v>0</v>
      </c>
      <c r="J105" s="51"/>
      <c r="K105" s="51">
        <v>39261.54</v>
      </c>
      <c r="L105" s="51">
        <f t="shared" si="22"/>
        <v>39261.54</v>
      </c>
      <c r="M105" s="54" t="e">
        <f t="shared" si="20"/>
        <v>#DIV/0!</v>
      </c>
      <c r="N105" s="51">
        <f t="shared" si="23"/>
        <v>39261.54</v>
      </c>
      <c r="O105" s="54" t="e">
        <f t="shared" si="14"/>
        <v>#DIV/0!</v>
      </c>
      <c r="P105" s="51">
        <f t="shared" si="24"/>
        <v>0</v>
      </c>
      <c r="Q105" s="69"/>
    </row>
    <row r="106" spans="1:17" s="32" customFormat="1" ht="78.75" customHeight="1" outlineLevel="1" collapsed="1">
      <c r="A106" s="24" t="s">
        <v>183</v>
      </c>
      <c r="B106" s="48" t="s">
        <v>184</v>
      </c>
      <c r="C106" s="49" t="s">
        <v>185</v>
      </c>
      <c r="D106" s="50" t="s">
        <v>183</v>
      </c>
      <c r="E106" s="51">
        <f>E107+E108</f>
        <v>6949209.46</v>
      </c>
      <c r="F106" s="51">
        <f>F107+F108</f>
        <v>370763.17</v>
      </c>
      <c r="G106" s="58">
        <f>G107+G108</f>
        <v>-6578446.29</v>
      </c>
      <c r="H106" s="54">
        <f t="shared" si="21"/>
        <v>0.05335328746875907</v>
      </c>
      <c r="I106" s="51">
        <f>I107+I108</f>
        <v>3385056.7</v>
      </c>
      <c r="J106" s="51">
        <f>J107+J108</f>
        <v>217229</v>
      </c>
      <c r="K106" s="51">
        <f>K107+K108</f>
        <v>286935.97</v>
      </c>
      <c r="L106" s="51">
        <f t="shared" si="22"/>
        <v>69706.96999999997</v>
      </c>
      <c r="M106" s="54">
        <f t="shared" si="20"/>
        <v>-0.514567809901508</v>
      </c>
      <c r="N106" s="51">
        <f t="shared" si="23"/>
        <v>-3098120.7300000004</v>
      </c>
      <c r="O106" s="54">
        <f t="shared" si="14"/>
        <v>0.08476548413502201</v>
      </c>
      <c r="P106" s="51">
        <f t="shared" si="24"/>
        <v>-83827.20000000001</v>
      </c>
      <c r="Q106" s="56"/>
    </row>
    <row r="107" spans="1:17" ht="62.25" customHeight="1" outlineLevel="2">
      <c r="A107" s="64" t="s">
        <v>186</v>
      </c>
      <c r="B107" s="65" t="s">
        <v>187</v>
      </c>
      <c r="C107" s="59" t="s">
        <v>188</v>
      </c>
      <c r="D107" s="60" t="s">
        <v>186</v>
      </c>
      <c r="E107" s="61">
        <v>3053889.31</v>
      </c>
      <c r="F107" s="61">
        <v>360263.17</v>
      </c>
      <c r="G107" s="62">
        <f>F107-E107</f>
        <v>-2693626.14</v>
      </c>
      <c r="H107" s="63">
        <f t="shared" si="21"/>
        <v>0.11796864045475178</v>
      </c>
      <c r="I107" s="61">
        <v>3335156.7</v>
      </c>
      <c r="J107" s="61">
        <v>217229</v>
      </c>
      <c r="K107" s="61">
        <v>276922.47</v>
      </c>
      <c r="L107" s="61">
        <f t="shared" si="22"/>
        <v>59693.46999999997</v>
      </c>
      <c r="M107" s="63">
        <f t="shared" si="20"/>
        <v>-1.238166147288725</v>
      </c>
      <c r="N107" s="61">
        <f>K107-I107</f>
        <v>-3058234.2300000004</v>
      </c>
      <c r="O107" s="63">
        <f t="shared" si="14"/>
        <v>0.08303132203653278</v>
      </c>
      <c r="P107" s="61">
        <f t="shared" si="24"/>
        <v>-83340.70000000001</v>
      </c>
      <c r="Q107" s="74"/>
    </row>
    <row r="108" spans="1:17" ht="35.25" customHeight="1" outlineLevel="3">
      <c r="A108" s="64" t="s">
        <v>189</v>
      </c>
      <c r="B108" s="65" t="s">
        <v>190</v>
      </c>
      <c r="C108" s="59" t="s">
        <v>191</v>
      </c>
      <c r="D108" s="60" t="s">
        <v>192</v>
      </c>
      <c r="E108" s="62">
        <v>3895320.15</v>
      </c>
      <c r="F108" s="62">
        <v>10500</v>
      </c>
      <c r="G108" s="62">
        <f>F108-E108</f>
        <v>-3884820.15</v>
      </c>
      <c r="H108" s="63">
        <f t="shared" si="21"/>
        <v>0.002695542239320175</v>
      </c>
      <c r="I108" s="61">
        <v>49900</v>
      </c>
      <c r="J108" s="61"/>
      <c r="K108" s="62">
        <v>10013.5</v>
      </c>
      <c r="L108" s="61">
        <f t="shared" si="22"/>
        <v>10013.5</v>
      </c>
      <c r="M108" s="63">
        <f t="shared" si="20"/>
        <v>-0.012844867477327104</v>
      </c>
      <c r="N108" s="61">
        <f>K108-I108</f>
        <v>-39886.5</v>
      </c>
      <c r="O108" s="63">
        <f t="shared" si="14"/>
        <v>0.20067134268537073</v>
      </c>
      <c r="P108" s="61">
        <f t="shared" si="24"/>
        <v>-486.5</v>
      </c>
      <c r="Q108" s="66"/>
    </row>
    <row r="109" spans="1:17" s="32" customFormat="1" ht="75" customHeight="1" outlineLevel="1">
      <c r="A109" s="24" t="s">
        <v>193</v>
      </c>
      <c r="B109" s="48" t="s">
        <v>194</v>
      </c>
      <c r="C109" s="49" t="s">
        <v>195</v>
      </c>
      <c r="D109" s="50" t="s">
        <v>193</v>
      </c>
      <c r="E109" s="51">
        <f>E110+E111</f>
        <v>19228417.560000002</v>
      </c>
      <c r="F109" s="51">
        <f>F110+F111</f>
        <v>4262553</v>
      </c>
      <c r="G109" s="58">
        <f>G110+G111</f>
        <v>-14965864.56</v>
      </c>
      <c r="H109" s="54">
        <f t="shared" si="21"/>
        <v>0.22167986453899327</v>
      </c>
      <c r="I109" s="51">
        <f>I110+I111</f>
        <v>23892500</v>
      </c>
      <c r="J109" s="51">
        <f>J110+J111</f>
        <v>200000</v>
      </c>
      <c r="K109" s="51">
        <f>K110+K111</f>
        <v>6025028.35</v>
      </c>
      <c r="L109" s="51">
        <f t="shared" si="22"/>
        <v>5825028.35</v>
      </c>
      <c r="M109" s="54">
        <f t="shared" si="20"/>
        <v>-1.59646640554657</v>
      </c>
      <c r="N109" s="51">
        <f>N110+N111</f>
        <v>-17867471.65</v>
      </c>
      <c r="O109" s="54">
        <f t="shared" si="14"/>
        <v>0.2521723699905828</v>
      </c>
      <c r="P109" s="51">
        <f t="shared" si="24"/>
        <v>1762475.3499999996</v>
      </c>
      <c r="Q109" s="56"/>
    </row>
    <row r="110" spans="1:17" ht="75.75" customHeight="1" outlineLevel="2">
      <c r="A110" s="64" t="s">
        <v>196</v>
      </c>
      <c r="B110" s="65" t="s">
        <v>197</v>
      </c>
      <c r="C110" s="59" t="s">
        <v>198</v>
      </c>
      <c r="D110" s="60" t="s">
        <v>196</v>
      </c>
      <c r="E110" s="61">
        <v>7574993.66</v>
      </c>
      <c r="F110" s="61">
        <v>3037000</v>
      </c>
      <c r="G110" s="62">
        <f aca="true" t="shared" si="25" ref="G110:G130">F110-E110</f>
        <v>-4537993.66</v>
      </c>
      <c r="H110" s="63">
        <f t="shared" si="21"/>
        <v>0.40092442796843214</v>
      </c>
      <c r="I110" s="61">
        <v>17958200</v>
      </c>
      <c r="J110" s="61"/>
      <c r="K110" s="61">
        <v>2389469.33</v>
      </c>
      <c r="L110" s="61">
        <f t="shared" si="22"/>
        <v>2389469.33</v>
      </c>
      <c r="M110" s="63">
        <f t="shared" si="20"/>
        <v>-3.957299490806252</v>
      </c>
      <c r="N110" s="61">
        <f>K110-I110</f>
        <v>-15568730.67</v>
      </c>
      <c r="O110" s="63">
        <f t="shared" si="14"/>
        <v>0.13305728469445713</v>
      </c>
      <c r="P110" s="61">
        <f t="shared" si="24"/>
        <v>-647530.6699999999</v>
      </c>
      <c r="Q110" s="73"/>
    </row>
    <row r="111" spans="1:17" ht="36" customHeight="1" outlineLevel="2">
      <c r="A111" s="64" t="s">
        <v>199</v>
      </c>
      <c r="B111" s="65" t="s">
        <v>200</v>
      </c>
      <c r="C111" s="59" t="s">
        <v>201</v>
      </c>
      <c r="D111" s="60" t="s">
        <v>199</v>
      </c>
      <c r="E111" s="61">
        <v>11653423.9</v>
      </c>
      <c r="F111" s="61">
        <v>1225553</v>
      </c>
      <c r="G111" s="62">
        <f t="shared" si="25"/>
        <v>-10427870.9</v>
      </c>
      <c r="H111" s="63">
        <f t="shared" si="21"/>
        <v>0.10516677420444646</v>
      </c>
      <c r="I111" s="61">
        <v>5934300</v>
      </c>
      <c r="J111" s="61">
        <v>200000</v>
      </c>
      <c r="K111" s="61">
        <v>3635559.02</v>
      </c>
      <c r="L111" s="61">
        <f t="shared" si="22"/>
        <v>3435559.02</v>
      </c>
      <c r="M111" s="63">
        <f t="shared" si="20"/>
        <v>-0.569080693164316</v>
      </c>
      <c r="N111" s="61">
        <f>K111-I111</f>
        <v>-2298740.98</v>
      </c>
      <c r="O111" s="63">
        <f t="shared" si="14"/>
        <v>0.6126348549955344</v>
      </c>
      <c r="P111" s="61">
        <f t="shared" si="24"/>
        <v>2410006.02</v>
      </c>
      <c r="Q111" s="66"/>
    </row>
    <row r="112" spans="1:17" s="32" customFormat="1" ht="69" customHeight="1" outlineLevel="1">
      <c r="A112" s="24" t="s">
        <v>202</v>
      </c>
      <c r="B112" s="48" t="s">
        <v>203</v>
      </c>
      <c r="C112" s="49" t="s">
        <v>204</v>
      </c>
      <c r="D112" s="50" t="s">
        <v>202</v>
      </c>
      <c r="E112" s="51">
        <v>1668058.37</v>
      </c>
      <c r="F112" s="51">
        <v>261327.96</v>
      </c>
      <c r="G112" s="58">
        <f t="shared" si="25"/>
        <v>-1406730.4100000001</v>
      </c>
      <c r="H112" s="54">
        <f t="shared" si="21"/>
        <v>0.1566659564796884</v>
      </c>
      <c r="I112" s="51">
        <v>164894.64</v>
      </c>
      <c r="J112" s="51">
        <v>35150</v>
      </c>
      <c r="K112" s="51">
        <v>599168.05</v>
      </c>
      <c r="L112" s="51">
        <f t="shared" si="22"/>
        <v>564018.05</v>
      </c>
      <c r="M112" s="54">
        <f t="shared" si="20"/>
        <v>-0.1172183659554214</v>
      </c>
      <c r="N112" s="51">
        <f>K112-I112</f>
        <v>434273.41000000003</v>
      </c>
      <c r="O112" s="54">
        <f t="shared" si="14"/>
        <v>3.6336417605811806</v>
      </c>
      <c r="P112" s="51">
        <f t="shared" si="24"/>
        <v>337840.0900000001</v>
      </c>
      <c r="Q112" s="74" t="s">
        <v>258</v>
      </c>
    </row>
    <row r="113" spans="1:17" s="32" customFormat="1" ht="30.75" customHeight="1" outlineLevel="1">
      <c r="A113" s="24" t="s">
        <v>205</v>
      </c>
      <c r="B113" s="48" t="s">
        <v>206</v>
      </c>
      <c r="C113" s="49" t="s">
        <v>207</v>
      </c>
      <c r="D113" s="50" t="s">
        <v>205</v>
      </c>
      <c r="E113" s="51">
        <f>E114+E115+E116+E117+E118+E119+E120</f>
        <v>7747287.5</v>
      </c>
      <c r="F113" s="51">
        <f>F114+F115+F116+F117+F118+F119+F120</f>
        <v>811095.1900000001</v>
      </c>
      <c r="G113" s="58">
        <f>G114+G115+G116+G117+G118+G119</f>
        <v>-5344488.3100000005</v>
      </c>
      <c r="H113" s="75">
        <f t="shared" si="21"/>
        <v>0.10469408680134822</v>
      </c>
      <c r="I113" s="51">
        <f>I114+I115+I116+I117+I118+I119+I120</f>
        <v>7004782.08</v>
      </c>
      <c r="J113" s="51">
        <f>J114+J115+J116+J117+J118+J119+J120</f>
        <v>918137.48</v>
      </c>
      <c r="K113" s="51">
        <f>K114+K115+K116+K117+K118+K119+K120</f>
        <v>2530246</v>
      </c>
      <c r="L113" s="51">
        <f>L114+L115+L116+L117+L118+L119+L120</f>
        <v>1612108.52</v>
      </c>
      <c r="M113" s="51" t="e">
        <f>M114+M115+M116+M117+M118+M119+M120</f>
        <v>#DIV/0!</v>
      </c>
      <c r="N113" s="51">
        <f>N114+N115+N116+N117+N118+N119+N120</f>
        <v>-4474536.08</v>
      </c>
      <c r="O113" s="54">
        <f t="shared" si="14"/>
        <v>0.36121694738003896</v>
      </c>
      <c r="P113" s="51">
        <f t="shared" si="24"/>
        <v>1719150.81</v>
      </c>
      <c r="Q113" s="56"/>
    </row>
    <row r="114" spans="1:17" s="4" customFormat="1" ht="72" customHeight="1" outlineLevel="1">
      <c r="A114" s="76"/>
      <c r="B114" s="77" t="s">
        <v>208</v>
      </c>
      <c r="C114" s="59" t="s">
        <v>209</v>
      </c>
      <c r="D114" s="60" t="s">
        <v>210</v>
      </c>
      <c r="E114" s="78">
        <v>0</v>
      </c>
      <c r="F114" s="79"/>
      <c r="G114" s="62"/>
      <c r="H114" s="63"/>
      <c r="I114" s="79"/>
      <c r="J114" s="79"/>
      <c r="K114" s="79"/>
      <c r="L114" s="61">
        <f t="shared" si="22"/>
        <v>0</v>
      </c>
      <c r="M114" s="63"/>
      <c r="N114" s="61">
        <f aca="true" t="shared" si="26" ref="N114:N120">K114-I114</f>
        <v>0</v>
      </c>
      <c r="O114" s="63"/>
      <c r="P114" s="61">
        <f t="shared" si="24"/>
        <v>0</v>
      </c>
      <c r="Q114" s="80"/>
    </row>
    <row r="115" spans="1:17" ht="94.5" customHeight="1" outlineLevel="5">
      <c r="A115" s="64" t="s">
        <v>211</v>
      </c>
      <c r="B115" s="65" t="s">
        <v>212</v>
      </c>
      <c r="C115" s="59" t="s">
        <v>213</v>
      </c>
      <c r="D115" s="60" t="s">
        <v>211</v>
      </c>
      <c r="E115" s="61">
        <v>898909.4</v>
      </c>
      <c r="F115" s="61">
        <v>65794</v>
      </c>
      <c r="G115" s="62">
        <f t="shared" si="25"/>
        <v>-833115.4</v>
      </c>
      <c r="H115" s="63">
        <f t="shared" si="21"/>
        <v>0.07319313826287721</v>
      </c>
      <c r="I115" s="61">
        <v>936864.56</v>
      </c>
      <c r="J115" s="61"/>
      <c r="K115" s="61">
        <v>136700</v>
      </c>
      <c r="L115" s="61">
        <f t="shared" si="22"/>
        <v>136700</v>
      </c>
      <c r="M115" s="63">
        <f>I115/G115</f>
        <v>-1.1245315594934389</v>
      </c>
      <c r="N115" s="61">
        <f t="shared" si="26"/>
        <v>-800164.56</v>
      </c>
      <c r="O115" s="63">
        <f t="shared" si="14"/>
        <v>0.14591223303398304</v>
      </c>
      <c r="P115" s="61">
        <f t="shared" si="24"/>
        <v>70906</v>
      </c>
      <c r="Q115" s="66" t="s">
        <v>259</v>
      </c>
    </row>
    <row r="116" spans="1:17" ht="61.5" customHeight="1" outlineLevel="5">
      <c r="A116" s="64" t="s">
        <v>214</v>
      </c>
      <c r="B116" s="65" t="s">
        <v>215</v>
      </c>
      <c r="C116" s="59" t="s">
        <v>216</v>
      </c>
      <c r="D116" s="60" t="s">
        <v>214</v>
      </c>
      <c r="E116" s="61">
        <v>91219.38</v>
      </c>
      <c r="F116" s="61">
        <v>8608.01</v>
      </c>
      <c r="G116" s="62">
        <f t="shared" si="25"/>
        <v>-82611.37000000001</v>
      </c>
      <c r="H116" s="63">
        <f t="shared" si="21"/>
        <v>0.09436602178177488</v>
      </c>
      <c r="I116" s="61">
        <v>33077</v>
      </c>
      <c r="J116" s="61">
        <v>4255</v>
      </c>
      <c r="K116" s="61"/>
      <c r="L116" s="61">
        <f t="shared" si="22"/>
        <v>-4255</v>
      </c>
      <c r="M116" s="63">
        <f>I116/G116</f>
        <v>-0.40039282728273357</v>
      </c>
      <c r="N116" s="61">
        <f t="shared" si="26"/>
        <v>-33077</v>
      </c>
      <c r="O116" s="63">
        <f t="shared" si="14"/>
        <v>0</v>
      </c>
      <c r="P116" s="61">
        <f t="shared" si="24"/>
        <v>-8608.01</v>
      </c>
      <c r="Q116" s="66"/>
    </row>
    <row r="117" spans="1:17" ht="79.5" customHeight="1" outlineLevel="5">
      <c r="A117" s="64" t="s">
        <v>217</v>
      </c>
      <c r="B117" s="65" t="s">
        <v>218</v>
      </c>
      <c r="C117" s="59" t="s">
        <v>219</v>
      </c>
      <c r="D117" s="60" t="s">
        <v>217</v>
      </c>
      <c r="E117" s="61">
        <v>0</v>
      </c>
      <c r="F117" s="61"/>
      <c r="G117" s="62">
        <f t="shared" si="25"/>
        <v>0</v>
      </c>
      <c r="H117" s="63" t="e">
        <f t="shared" si="21"/>
        <v>#DIV/0!</v>
      </c>
      <c r="I117" s="61"/>
      <c r="J117" s="61"/>
      <c r="K117" s="61"/>
      <c r="L117" s="61">
        <f t="shared" si="22"/>
        <v>0</v>
      </c>
      <c r="M117" s="63"/>
      <c r="N117" s="61">
        <f t="shared" si="26"/>
        <v>0</v>
      </c>
      <c r="O117" s="63"/>
      <c r="P117" s="61">
        <f t="shared" si="24"/>
        <v>0</v>
      </c>
      <c r="Q117" s="66"/>
    </row>
    <row r="118" spans="1:17" ht="45" customHeight="1" hidden="1" outlineLevel="5">
      <c r="A118" s="64" t="s">
        <v>220</v>
      </c>
      <c r="B118" s="65"/>
      <c r="C118" s="59" t="s">
        <v>221</v>
      </c>
      <c r="D118" s="60" t="s">
        <v>220</v>
      </c>
      <c r="E118" s="61"/>
      <c r="F118" s="61"/>
      <c r="G118" s="62">
        <f t="shared" si="25"/>
        <v>0</v>
      </c>
      <c r="H118" s="63" t="e">
        <f t="shared" si="21"/>
        <v>#DIV/0!</v>
      </c>
      <c r="I118" s="61"/>
      <c r="J118" s="61"/>
      <c r="K118" s="61"/>
      <c r="L118" s="61">
        <f t="shared" si="22"/>
        <v>0</v>
      </c>
      <c r="M118" s="63" t="e">
        <f aca="true" t="shared" si="27" ref="M118:M127">I118/G118</f>
        <v>#DIV/0!</v>
      </c>
      <c r="N118" s="61">
        <f t="shared" si="26"/>
        <v>0</v>
      </c>
      <c r="O118" s="63" t="e">
        <f t="shared" si="14"/>
        <v>#DIV/0!</v>
      </c>
      <c r="P118" s="61">
        <f t="shared" si="24"/>
        <v>0</v>
      </c>
      <c r="Q118" s="81" t="s">
        <v>222</v>
      </c>
    </row>
    <row r="119" spans="1:17" ht="117" customHeight="1" outlineLevel="5">
      <c r="A119" s="64" t="s">
        <v>223</v>
      </c>
      <c r="B119" s="82" t="s">
        <v>224</v>
      </c>
      <c r="C119" s="83" t="s">
        <v>225</v>
      </c>
      <c r="D119" s="84" t="s">
        <v>223</v>
      </c>
      <c r="E119" s="85">
        <v>5165454.72</v>
      </c>
      <c r="F119" s="85">
        <v>736693.18</v>
      </c>
      <c r="G119" s="86">
        <f t="shared" si="25"/>
        <v>-4428761.54</v>
      </c>
      <c r="H119" s="87">
        <f t="shared" si="21"/>
        <v>0.14261923101321855</v>
      </c>
      <c r="I119" s="85">
        <v>4745840.52</v>
      </c>
      <c r="J119" s="85">
        <v>913882.48</v>
      </c>
      <c r="K119" s="85">
        <v>1104546</v>
      </c>
      <c r="L119" s="85">
        <f t="shared" si="22"/>
        <v>190663.52000000002</v>
      </c>
      <c r="M119" s="87">
        <f t="shared" si="27"/>
        <v>-1.0715954058795407</v>
      </c>
      <c r="N119" s="85">
        <f t="shared" si="26"/>
        <v>-3641294.5199999996</v>
      </c>
      <c r="O119" s="87">
        <f t="shared" si="14"/>
        <v>0.23273980559296167</v>
      </c>
      <c r="P119" s="85">
        <f t="shared" si="24"/>
        <v>367852.81999999995</v>
      </c>
      <c r="Q119" s="88"/>
    </row>
    <row r="120" spans="1:17" ht="47.25" customHeight="1" outlineLevel="5" thickBot="1">
      <c r="A120" s="64"/>
      <c r="B120" s="65" t="s">
        <v>226</v>
      </c>
      <c r="C120" s="89" t="s">
        <v>227</v>
      </c>
      <c r="D120" s="90"/>
      <c r="E120" s="91">
        <v>1591704</v>
      </c>
      <c r="F120" s="91"/>
      <c r="G120" s="92"/>
      <c r="H120" s="93"/>
      <c r="I120" s="91">
        <v>1289000</v>
      </c>
      <c r="J120" s="91"/>
      <c r="K120" s="91">
        <v>1289000</v>
      </c>
      <c r="L120" s="85">
        <f t="shared" si="22"/>
        <v>1289000</v>
      </c>
      <c r="M120" s="93"/>
      <c r="N120" s="85">
        <f t="shared" si="26"/>
        <v>0</v>
      </c>
      <c r="O120" s="93"/>
      <c r="P120" s="85">
        <f t="shared" si="24"/>
        <v>1289000</v>
      </c>
      <c r="Q120" s="94" t="s">
        <v>269</v>
      </c>
    </row>
    <row r="121" spans="1:17" s="16" customFormat="1" ht="31.5" customHeight="1" thickBot="1">
      <c r="A121" s="9" t="s">
        <v>228</v>
      </c>
      <c r="B121" s="10" t="s">
        <v>226</v>
      </c>
      <c r="C121" s="95" t="s">
        <v>229</v>
      </c>
      <c r="D121" s="96" t="s">
        <v>228</v>
      </c>
      <c r="E121" s="99">
        <f>E122+E126+E127+E128+E129+E130</f>
        <v>3087425772.07</v>
      </c>
      <c r="F121" s="99">
        <f>F122+F126+F127+F128+F129+F130</f>
        <v>190334864.53</v>
      </c>
      <c r="G121" s="97">
        <f t="shared" si="25"/>
        <v>-2897090907.54</v>
      </c>
      <c r="H121" s="98">
        <f t="shared" si="21"/>
        <v>0.0616484018018635</v>
      </c>
      <c r="I121" s="99">
        <f>I122+I126+I127+I128+I129+I130</f>
        <v>2487610806.9800005</v>
      </c>
      <c r="J121" s="100" t="s">
        <v>230</v>
      </c>
      <c r="K121" s="99">
        <f>K122+K126+K127+K128+K129+K130</f>
        <v>193720324.26000002</v>
      </c>
      <c r="L121" s="100" t="s">
        <v>230</v>
      </c>
      <c r="M121" s="98">
        <f t="shared" si="27"/>
        <v>-0.8586581803510956</v>
      </c>
      <c r="N121" s="99">
        <f>N122+N126+N127+N130</f>
        <v>-2196595356.7999997</v>
      </c>
      <c r="O121" s="98">
        <f t="shared" si="14"/>
        <v>0.07787404835050528</v>
      </c>
      <c r="P121" s="99">
        <f t="shared" si="24"/>
        <v>3385459.730000019</v>
      </c>
      <c r="Q121" s="101"/>
    </row>
    <row r="122" spans="1:17" ht="86.25" customHeight="1" outlineLevel="2">
      <c r="A122" s="64" t="s">
        <v>231</v>
      </c>
      <c r="B122" s="65" t="s">
        <v>232</v>
      </c>
      <c r="C122" s="102" t="s">
        <v>233</v>
      </c>
      <c r="D122" s="103" t="s">
        <v>231</v>
      </c>
      <c r="E122" s="104">
        <v>473098326.55</v>
      </c>
      <c r="F122" s="104">
        <v>73274352.77</v>
      </c>
      <c r="G122" s="105">
        <f t="shared" si="25"/>
        <v>-399823973.78000003</v>
      </c>
      <c r="H122" s="106">
        <f t="shared" si="21"/>
        <v>0.15488186843598126</v>
      </c>
      <c r="I122" s="104">
        <v>497698288.62</v>
      </c>
      <c r="J122" s="107" t="s">
        <v>230</v>
      </c>
      <c r="K122" s="104">
        <v>82949718.62</v>
      </c>
      <c r="L122" s="107" t="s">
        <v>230</v>
      </c>
      <c r="M122" s="106">
        <f t="shared" si="27"/>
        <v>-1.244793512291623</v>
      </c>
      <c r="N122" s="85">
        <f aca="true" t="shared" si="28" ref="N122:N129">K122-I122</f>
        <v>-414748570</v>
      </c>
      <c r="O122" s="106">
        <f t="shared" si="14"/>
        <v>0.16666667440227695</v>
      </c>
      <c r="P122" s="104">
        <f t="shared" si="24"/>
        <v>9675365.850000009</v>
      </c>
      <c r="Q122" s="108"/>
    </row>
    <row r="123" spans="1:17" ht="42.75" customHeight="1" hidden="1" outlineLevel="3">
      <c r="A123" s="64" t="s">
        <v>234</v>
      </c>
      <c r="B123" s="65"/>
      <c r="C123" s="59" t="s">
        <v>235</v>
      </c>
      <c r="D123" s="60" t="s">
        <v>234</v>
      </c>
      <c r="E123" s="61"/>
      <c r="F123" s="61"/>
      <c r="G123" s="105">
        <f t="shared" si="25"/>
        <v>0</v>
      </c>
      <c r="H123" s="106" t="e">
        <f t="shared" si="21"/>
        <v>#DIV/0!</v>
      </c>
      <c r="I123" s="61"/>
      <c r="J123" s="61"/>
      <c r="K123" s="61"/>
      <c r="L123" s="61"/>
      <c r="M123" s="106" t="e">
        <f t="shared" si="27"/>
        <v>#DIV/0!</v>
      </c>
      <c r="N123" s="85">
        <f t="shared" si="28"/>
        <v>0</v>
      </c>
      <c r="O123" s="106" t="e">
        <f t="shared" si="14"/>
        <v>#DIV/0!</v>
      </c>
      <c r="P123" s="104">
        <f t="shared" si="24"/>
        <v>0</v>
      </c>
      <c r="Q123" s="109"/>
    </row>
    <row r="124" spans="1:17" ht="71.25" customHeight="1" hidden="1" outlineLevel="4">
      <c r="A124" s="64" t="s">
        <v>236</v>
      </c>
      <c r="B124" s="65"/>
      <c r="C124" s="59" t="s">
        <v>237</v>
      </c>
      <c r="D124" s="60" t="s">
        <v>236</v>
      </c>
      <c r="E124" s="61"/>
      <c r="F124" s="61"/>
      <c r="G124" s="105">
        <f t="shared" si="25"/>
        <v>0</v>
      </c>
      <c r="H124" s="106" t="e">
        <f t="shared" si="21"/>
        <v>#DIV/0!</v>
      </c>
      <c r="I124" s="61"/>
      <c r="J124" s="61"/>
      <c r="K124" s="61"/>
      <c r="L124" s="61"/>
      <c r="M124" s="106" t="e">
        <f t="shared" si="27"/>
        <v>#DIV/0!</v>
      </c>
      <c r="N124" s="85">
        <f t="shared" si="28"/>
        <v>0</v>
      </c>
      <c r="O124" s="106" t="e">
        <f t="shared" si="14"/>
        <v>#DIV/0!</v>
      </c>
      <c r="P124" s="104">
        <f t="shared" si="24"/>
        <v>0</v>
      </c>
      <c r="Q124" s="109"/>
    </row>
    <row r="125" spans="1:17" ht="71.25" customHeight="1" hidden="1" outlineLevel="5">
      <c r="A125" s="64" t="s">
        <v>236</v>
      </c>
      <c r="B125" s="65"/>
      <c r="C125" s="59" t="s">
        <v>238</v>
      </c>
      <c r="D125" s="60" t="s">
        <v>236</v>
      </c>
      <c r="E125" s="61"/>
      <c r="F125" s="61"/>
      <c r="G125" s="105">
        <f t="shared" si="25"/>
        <v>0</v>
      </c>
      <c r="H125" s="106" t="e">
        <f t="shared" si="21"/>
        <v>#DIV/0!</v>
      </c>
      <c r="I125" s="61"/>
      <c r="J125" s="61"/>
      <c r="K125" s="61"/>
      <c r="L125" s="61"/>
      <c r="M125" s="106" t="e">
        <f t="shared" si="27"/>
        <v>#DIV/0!</v>
      </c>
      <c r="N125" s="85">
        <f t="shared" si="28"/>
        <v>0</v>
      </c>
      <c r="O125" s="106" t="e">
        <f t="shared" si="14"/>
        <v>#DIV/0!</v>
      </c>
      <c r="P125" s="104">
        <f t="shared" si="24"/>
        <v>0</v>
      </c>
      <c r="Q125" s="109"/>
    </row>
    <row r="126" spans="1:17" ht="21" customHeight="1" outlineLevel="2" collapsed="1">
      <c r="A126" s="64" t="s">
        <v>239</v>
      </c>
      <c r="B126" s="65" t="s">
        <v>240</v>
      </c>
      <c r="C126" s="59" t="s">
        <v>241</v>
      </c>
      <c r="D126" s="60" t="s">
        <v>242</v>
      </c>
      <c r="E126" s="110">
        <v>1985905932.37</v>
      </c>
      <c r="F126" s="110">
        <v>30203691.58</v>
      </c>
      <c r="G126" s="105">
        <f t="shared" si="25"/>
        <v>-1955702240.79</v>
      </c>
      <c r="H126" s="106">
        <f t="shared" si="21"/>
        <v>0.015209024298524861</v>
      </c>
      <c r="I126" s="61">
        <v>1318363941.72</v>
      </c>
      <c r="J126" s="107" t="s">
        <v>230</v>
      </c>
      <c r="K126" s="110">
        <v>14836351.18</v>
      </c>
      <c r="L126" s="107" t="s">
        <v>230</v>
      </c>
      <c r="M126" s="106">
        <f t="shared" si="27"/>
        <v>-0.6741128144269298</v>
      </c>
      <c r="N126" s="85">
        <f t="shared" si="28"/>
        <v>-1303527590.54</v>
      </c>
      <c r="O126" s="106">
        <f t="shared" si="14"/>
        <v>0.011253608135431702</v>
      </c>
      <c r="P126" s="104">
        <f t="shared" si="24"/>
        <v>-15367340.399999999</v>
      </c>
      <c r="Q126" s="109"/>
    </row>
    <row r="127" spans="1:17" ht="22.5" customHeight="1" outlineLevel="5">
      <c r="A127" s="64" t="s">
        <v>243</v>
      </c>
      <c r="B127" s="65" t="s">
        <v>244</v>
      </c>
      <c r="C127" s="59" t="s">
        <v>245</v>
      </c>
      <c r="D127" s="60" t="s">
        <v>246</v>
      </c>
      <c r="E127" s="61">
        <v>520683169.05</v>
      </c>
      <c r="F127" s="61">
        <v>82857618.84</v>
      </c>
      <c r="G127" s="105">
        <f t="shared" si="25"/>
        <v>-437825550.21000004</v>
      </c>
      <c r="H127" s="106">
        <f t="shared" si="21"/>
        <v>0.15913250852946886</v>
      </c>
      <c r="I127" s="61">
        <v>569417931.96</v>
      </c>
      <c r="J127" s="107" t="s">
        <v>230</v>
      </c>
      <c r="K127" s="61">
        <v>91098735.69</v>
      </c>
      <c r="L127" s="107" t="s">
        <v>230</v>
      </c>
      <c r="M127" s="106">
        <f t="shared" si="27"/>
        <v>-1.300558936514515</v>
      </c>
      <c r="N127" s="85">
        <f t="shared" si="28"/>
        <v>-478319196.27000004</v>
      </c>
      <c r="O127" s="106">
        <f t="shared" si="14"/>
        <v>0.15998571624962352</v>
      </c>
      <c r="P127" s="104">
        <f t="shared" si="24"/>
        <v>8241116.849999994</v>
      </c>
      <c r="Q127" s="109"/>
    </row>
    <row r="128" spans="1:17" ht="22.5" customHeight="1" outlineLevel="5">
      <c r="A128" s="64"/>
      <c r="B128" s="65" t="s">
        <v>247</v>
      </c>
      <c r="C128" s="59" t="s">
        <v>248</v>
      </c>
      <c r="D128" s="60"/>
      <c r="E128" s="61">
        <v>110208359.34</v>
      </c>
      <c r="F128" s="61">
        <v>4292531.26</v>
      </c>
      <c r="G128" s="105">
        <f t="shared" si="25"/>
        <v>-105915828.08</v>
      </c>
      <c r="H128" s="106">
        <f t="shared" si="21"/>
        <v>0.03894923475593407</v>
      </c>
      <c r="I128" s="61">
        <v>101193974.92</v>
      </c>
      <c r="J128" s="107" t="s">
        <v>230</v>
      </c>
      <c r="K128" s="61">
        <v>4348680</v>
      </c>
      <c r="L128" s="107" t="s">
        <v>230</v>
      </c>
      <c r="M128" s="106"/>
      <c r="N128" s="85">
        <f t="shared" si="28"/>
        <v>-96845294.92</v>
      </c>
      <c r="O128" s="106"/>
      <c r="P128" s="104">
        <f t="shared" si="24"/>
        <v>56148.74000000022</v>
      </c>
      <c r="Q128" s="109"/>
    </row>
    <row r="129" spans="1:17" ht="54" customHeight="1" outlineLevel="5">
      <c r="A129" s="64"/>
      <c r="B129" s="65" t="s">
        <v>249</v>
      </c>
      <c r="C129" s="59" t="s">
        <v>250</v>
      </c>
      <c r="D129" s="60"/>
      <c r="E129" s="85">
        <v>1669917.56</v>
      </c>
      <c r="F129" s="85"/>
      <c r="G129" s="105"/>
      <c r="H129" s="106"/>
      <c r="I129" s="61">
        <v>936811.59</v>
      </c>
      <c r="J129" s="107" t="s">
        <v>230</v>
      </c>
      <c r="K129" s="85">
        <v>486980.59</v>
      </c>
      <c r="L129" s="107" t="s">
        <v>230</v>
      </c>
      <c r="M129" s="106"/>
      <c r="N129" s="85">
        <f t="shared" si="28"/>
        <v>-449830.99999999994</v>
      </c>
      <c r="O129" s="106"/>
      <c r="P129" s="104">
        <f t="shared" si="24"/>
        <v>486980.59</v>
      </c>
      <c r="Q129" s="109"/>
    </row>
    <row r="130" spans="1:17" ht="40.5" customHeight="1" outlineLevel="1">
      <c r="A130" s="64" t="s">
        <v>251</v>
      </c>
      <c r="B130" s="65" t="s">
        <v>252</v>
      </c>
      <c r="C130" s="59" t="s">
        <v>253</v>
      </c>
      <c r="D130" s="60" t="s">
        <v>251</v>
      </c>
      <c r="E130" s="85">
        <v>-4139932.8</v>
      </c>
      <c r="F130" s="85">
        <v>-293329.92</v>
      </c>
      <c r="G130" s="105">
        <f t="shared" si="25"/>
        <v>3846602.88</v>
      </c>
      <c r="H130" s="106">
        <f t="shared" si="21"/>
        <v>0.0708537877716276</v>
      </c>
      <c r="I130" s="61">
        <v>-141.83</v>
      </c>
      <c r="J130" s="107" t="s">
        <v>230</v>
      </c>
      <c r="K130" s="85">
        <v>-141.82</v>
      </c>
      <c r="L130" s="107" t="s">
        <v>230</v>
      </c>
      <c r="M130" s="63"/>
      <c r="N130" s="85">
        <f>K130-I130</f>
        <v>0.010000000000019327</v>
      </c>
      <c r="O130" s="63"/>
      <c r="P130" s="104">
        <f t="shared" si="24"/>
        <v>293188.1</v>
      </c>
      <c r="Q130" s="109"/>
    </row>
    <row r="131" spans="1:17" s="118" customFormat="1" ht="23.25" customHeight="1">
      <c r="A131" s="506" t="s">
        <v>254</v>
      </c>
      <c r="B131" s="507"/>
      <c r="C131" s="508"/>
      <c r="D131" s="509"/>
      <c r="E131" s="115">
        <f>E121+E11</f>
        <v>3513539007.31</v>
      </c>
      <c r="F131" s="115">
        <f>F121+F11</f>
        <v>237569244.39</v>
      </c>
      <c r="G131" s="111">
        <f>F131-E131</f>
        <v>-3275969762.92</v>
      </c>
      <c r="H131" s="112">
        <f>F131/E131</f>
        <v>0.06761537125266907</v>
      </c>
      <c r="I131" s="113">
        <f>I121+I11</f>
        <v>2884708785.5900006</v>
      </c>
      <c r="J131" s="114" t="s">
        <v>230</v>
      </c>
      <c r="K131" s="115">
        <f>K121+K11</f>
        <v>213666033.00000003</v>
      </c>
      <c r="L131" s="114" t="s">
        <v>230</v>
      </c>
      <c r="M131" s="112">
        <f>I131/G131</f>
        <v>-0.8805663648796156</v>
      </c>
      <c r="N131" s="115">
        <f>N121+N11</f>
        <v>-2573747626.6699996</v>
      </c>
      <c r="O131" s="112">
        <f>K131/I131</f>
        <v>0.07406849317592368</v>
      </c>
      <c r="P131" s="116">
        <f>K131-F131</f>
        <v>-23903211.389999956</v>
      </c>
      <c r="Q131" s="117"/>
    </row>
    <row r="132" spans="1:17" s="129" customFormat="1" ht="24.75" customHeight="1">
      <c r="A132" s="119"/>
      <c r="B132" s="120">
        <v>46</v>
      </c>
      <c r="C132" s="121" t="s">
        <v>255</v>
      </c>
      <c r="D132" s="122"/>
      <c r="E132" s="123">
        <v>39027</v>
      </c>
      <c r="F132" s="123">
        <v>1942.15</v>
      </c>
      <c r="G132" s="124"/>
      <c r="H132" s="125"/>
      <c r="I132" s="126"/>
      <c r="J132" s="126"/>
      <c r="K132" s="123">
        <v>-21676.1</v>
      </c>
      <c r="L132" s="126"/>
      <c r="M132" s="125"/>
      <c r="N132" s="123"/>
      <c r="O132" s="125"/>
      <c r="P132" s="127"/>
      <c r="Q132" s="128"/>
    </row>
    <row r="133" spans="1:17" s="118" customFormat="1" ht="26.25" customHeight="1" thickBot="1">
      <c r="A133" s="130"/>
      <c r="B133" s="131"/>
      <c r="C133" s="131"/>
      <c r="D133" s="131"/>
      <c r="E133" s="136">
        <f>E131++E132</f>
        <v>3513578034.31</v>
      </c>
      <c r="F133" s="136">
        <f>F131++F132</f>
        <v>237571186.54</v>
      </c>
      <c r="G133" s="132">
        <f>F133-E133</f>
        <v>-3276006847.77</v>
      </c>
      <c r="H133" s="133">
        <f>F133/E133</f>
        <v>0.06761517297186043</v>
      </c>
      <c r="I133" s="134">
        <f>I131++I132</f>
        <v>2884708785.5900006</v>
      </c>
      <c r="J133" s="135" t="s">
        <v>230</v>
      </c>
      <c r="K133" s="136">
        <f>K131++K132</f>
        <v>213644356.90000004</v>
      </c>
      <c r="L133" s="137" t="s">
        <v>230</v>
      </c>
      <c r="M133" s="133">
        <f>I133/G133</f>
        <v>-0.880556396746741</v>
      </c>
      <c r="N133" s="136">
        <f>N131++N132</f>
        <v>-2573747626.6699996</v>
      </c>
      <c r="O133" s="133">
        <f>K133/I133</f>
        <v>0.07406097903789065</v>
      </c>
      <c r="P133" s="132">
        <f>K133-F133</f>
        <v>-23926829.639999956</v>
      </c>
      <c r="Q133" s="138"/>
    </row>
    <row r="134" ht="15">
      <c r="E134" s="139"/>
    </row>
    <row r="137" ht="15">
      <c r="E137" s="139"/>
    </row>
  </sheetData>
  <sheetProtection/>
  <mergeCells count="26">
    <mergeCell ref="P7:P9"/>
    <mergeCell ref="M8:M9"/>
    <mergeCell ref="N8:N9"/>
    <mergeCell ref="O8:O9"/>
    <mergeCell ref="A1:D1"/>
    <mergeCell ref="A2:D2"/>
    <mergeCell ref="A3:D3"/>
    <mergeCell ref="A4:Q4"/>
    <mergeCell ref="A5:D5"/>
    <mergeCell ref="A6:Q6"/>
    <mergeCell ref="A131:D131"/>
    <mergeCell ref="Q7:Q9"/>
    <mergeCell ref="A8:A9"/>
    <mergeCell ref="E8:E9"/>
    <mergeCell ref="F8:F9"/>
    <mergeCell ref="G8:G9"/>
    <mergeCell ref="H8:H9"/>
    <mergeCell ref="I8:I9"/>
    <mergeCell ref="J8:J9"/>
    <mergeCell ref="K8:K9"/>
    <mergeCell ref="L8:L9"/>
    <mergeCell ref="B7:B9"/>
    <mergeCell ref="C7:C9"/>
    <mergeCell ref="D7:D9"/>
    <mergeCell ref="E7:H7"/>
    <mergeCell ref="I7:O7"/>
  </mergeCells>
  <printOptions horizontalCentered="1"/>
  <pageMargins left="0" right="0" top="0.1968503937007874" bottom="0" header="0.3937007874015748" footer="0.3937007874015748"/>
  <pageSetup blackAndWhite="1" errors="blank" fitToHeight="0" fitToWidth="1" horizontalDpi="600" verticalDpi="600" orientation="landscape" paperSize="9" scale="56" r:id="rId1"/>
</worksheet>
</file>

<file path=xl/worksheets/sheet17.xml><?xml version="1.0" encoding="utf-8"?>
<worksheet xmlns="http://schemas.openxmlformats.org/spreadsheetml/2006/main" xmlns:r="http://schemas.openxmlformats.org/officeDocument/2006/relationships">
  <sheetPr>
    <tabColor theme="0" tint="-0.04997999966144562"/>
    <pageSetUpPr fitToPage="1"/>
  </sheetPr>
  <dimension ref="A1:Q137"/>
  <sheetViews>
    <sheetView showGridLines="0" showZeros="0" view="pageBreakPreview" zoomScale="85" zoomScaleNormal="75" zoomScaleSheetLayoutView="85" zoomScalePageLayoutView="0" workbookViewId="0" topLeftCell="B1">
      <pane ySplit="9" topLeftCell="A126" activePane="bottomLeft" state="frozen"/>
      <selection pane="topLeft" activeCell="A1" sqref="A1"/>
      <selection pane="bottomLeft" activeCell="Q82" sqref="Q82"/>
    </sheetView>
  </sheetViews>
  <sheetFormatPr defaultColWidth="9.140625" defaultRowHeight="15" outlineLevelRow="5"/>
  <cols>
    <col min="1" max="1" width="9.140625" style="1" hidden="1" customWidth="1"/>
    <col min="2" max="2" width="5.28125" style="1" customWidth="1"/>
    <col min="3" max="3" width="27.421875" style="2" customWidth="1"/>
    <col min="4" max="4" width="18.00390625" style="1" hidden="1" customWidth="1"/>
    <col min="5" max="6" width="21.421875" style="1" bestFit="1" customWidth="1"/>
    <col min="7" max="7" width="20.57421875" style="1" customWidth="1"/>
    <col min="8" max="8" width="10.28125" style="1" customWidth="1"/>
    <col min="9" max="9" width="20.28125" style="1" customWidth="1"/>
    <col min="10" max="10" width="17.57421875" style="1" hidden="1" customWidth="1"/>
    <col min="11" max="11" width="21.421875" style="1" bestFit="1" customWidth="1"/>
    <col min="12" max="12" width="19.140625" style="1" hidden="1" customWidth="1"/>
    <col min="13" max="13" width="14.28125" style="1" hidden="1" customWidth="1"/>
    <col min="14" max="14" width="21.140625" style="1" customWidth="1"/>
    <col min="15" max="15" width="13.8515625" style="1" customWidth="1"/>
    <col min="16" max="16" width="19.28125" style="1" customWidth="1"/>
    <col min="17" max="17" width="50.28125" style="2" bestFit="1" customWidth="1"/>
    <col min="18" max="16384" width="9.140625" style="1" customWidth="1"/>
  </cols>
  <sheetData>
    <row r="1" spans="1:4" ht="13.5" customHeight="1">
      <c r="A1" s="535" t="s">
        <v>0</v>
      </c>
      <c r="B1" s="535"/>
      <c r="C1" s="536"/>
      <c r="D1" s="536"/>
    </row>
    <row r="2" spans="1:4" ht="15" customHeight="1" hidden="1">
      <c r="A2" s="535"/>
      <c r="B2" s="535"/>
      <c r="C2" s="536"/>
      <c r="D2" s="536"/>
    </row>
    <row r="3" spans="1:4" ht="15">
      <c r="A3" s="535"/>
      <c r="B3" s="535"/>
      <c r="C3" s="536"/>
      <c r="D3" s="536"/>
    </row>
    <row r="4" spans="1:17" ht="15" customHeight="1">
      <c r="A4" s="538" t="s">
        <v>260</v>
      </c>
      <c r="B4" s="538"/>
      <c r="C4" s="538"/>
      <c r="D4" s="538"/>
      <c r="E4" s="538"/>
      <c r="F4" s="538"/>
      <c r="G4" s="538"/>
      <c r="H4" s="538"/>
      <c r="I4" s="538"/>
      <c r="J4" s="538"/>
      <c r="K4" s="538"/>
      <c r="L4" s="538"/>
      <c r="M4" s="538"/>
      <c r="N4" s="538"/>
      <c r="O4" s="538"/>
      <c r="P4" s="538"/>
      <c r="Q4" s="538"/>
    </row>
    <row r="5" spans="1:4" ht="0.75" customHeight="1">
      <c r="A5" s="539"/>
      <c r="B5" s="539"/>
      <c r="C5" s="540"/>
      <c r="D5" s="540"/>
    </row>
    <row r="6" spans="1:17" ht="12.75" customHeight="1" thickBot="1">
      <c r="A6" s="541" t="s">
        <v>1</v>
      </c>
      <c r="B6" s="541"/>
      <c r="C6" s="541"/>
      <c r="D6" s="541"/>
      <c r="E6" s="541"/>
      <c r="F6" s="541"/>
      <c r="G6" s="541"/>
      <c r="H6" s="541"/>
      <c r="I6" s="541"/>
      <c r="J6" s="541"/>
      <c r="K6" s="541"/>
      <c r="L6" s="541"/>
      <c r="M6" s="541"/>
      <c r="N6" s="541"/>
      <c r="O6" s="541"/>
      <c r="P6" s="541"/>
      <c r="Q6" s="541"/>
    </row>
    <row r="7" spans="1:17" s="4" customFormat="1" ht="24" customHeight="1">
      <c r="A7" s="3"/>
      <c r="B7" s="524"/>
      <c r="C7" s="525" t="s">
        <v>2</v>
      </c>
      <c r="D7" s="527" t="s">
        <v>3</v>
      </c>
      <c r="E7" s="530">
        <v>2022</v>
      </c>
      <c r="F7" s="530"/>
      <c r="G7" s="530"/>
      <c r="H7" s="531"/>
      <c r="I7" s="532">
        <v>2023</v>
      </c>
      <c r="J7" s="530"/>
      <c r="K7" s="530"/>
      <c r="L7" s="530"/>
      <c r="M7" s="530"/>
      <c r="N7" s="530"/>
      <c r="O7" s="531"/>
      <c r="P7" s="533" t="s">
        <v>262</v>
      </c>
      <c r="Q7" s="510" t="s">
        <v>4</v>
      </c>
    </row>
    <row r="8" spans="1:17" s="4" customFormat="1" ht="24" customHeight="1">
      <c r="A8" s="512" t="s">
        <v>5</v>
      </c>
      <c r="B8" s="524"/>
      <c r="C8" s="526"/>
      <c r="D8" s="528"/>
      <c r="E8" s="514" t="s">
        <v>261</v>
      </c>
      <c r="F8" s="516" t="s">
        <v>256</v>
      </c>
      <c r="G8" s="514" t="s">
        <v>6</v>
      </c>
      <c r="H8" s="519" t="s">
        <v>7</v>
      </c>
      <c r="I8" s="516" t="s">
        <v>8</v>
      </c>
      <c r="J8" s="516" t="s">
        <v>9</v>
      </c>
      <c r="K8" s="516" t="s">
        <v>256</v>
      </c>
      <c r="L8" s="523" t="s">
        <v>10</v>
      </c>
      <c r="M8" s="516" t="s">
        <v>11</v>
      </c>
      <c r="N8" s="523" t="s">
        <v>12</v>
      </c>
      <c r="O8" s="516" t="s">
        <v>13</v>
      </c>
      <c r="P8" s="534"/>
      <c r="Q8" s="511"/>
    </row>
    <row r="9" spans="1:17" s="4" customFormat="1" ht="57.75" customHeight="1">
      <c r="A9" s="513"/>
      <c r="B9" s="524"/>
      <c r="C9" s="526"/>
      <c r="D9" s="529"/>
      <c r="E9" s="515"/>
      <c r="F9" s="517"/>
      <c r="G9" s="518"/>
      <c r="H9" s="520"/>
      <c r="I9" s="517"/>
      <c r="J9" s="517"/>
      <c r="K9" s="517"/>
      <c r="L9" s="518"/>
      <c r="M9" s="517"/>
      <c r="N9" s="518"/>
      <c r="O9" s="517"/>
      <c r="P9" s="534"/>
      <c r="Q9" s="511"/>
    </row>
    <row r="10" spans="1:17" s="4" customFormat="1" ht="21" customHeight="1">
      <c r="A10" s="5"/>
      <c r="B10" s="6"/>
      <c r="C10" s="7">
        <v>1</v>
      </c>
      <c r="D10" s="8">
        <v>2</v>
      </c>
      <c r="E10" s="140">
        <v>9</v>
      </c>
      <c r="F10" s="140">
        <v>9</v>
      </c>
      <c r="G10" s="8">
        <v>5</v>
      </c>
      <c r="H10" s="8">
        <v>6</v>
      </c>
      <c r="I10" s="8">
        <v>7</v>
      </c>
      <c r="J10" s="8">
        <v>8</v>
      </c>
      <c r="K10" s="8">
        <v>9</v>
      </c>
      <c r="L10" s="8">
        <v>10</v>
      </c>
      <c r="M10" s="8">
        <v>11</v>
      </c>
      <c r="N10" s="8">
        <v>12</v>
      </c>
      <c r="O10" s="8">
        <v>13</v>
      </c>
      <c r="P10" s="8">
        <v>14</v>
      </c>
      <c r="Q10" s="8">
        <v>15</v>
      </c>
    </row>
    <row r="11" spans="1:17" s="16" customFormat="1" ht="33" customHeight="1" thickBot="1">
      <c r="A11" s="9" t="s">
        <v>14</v>
      </c>
      <c r="B11" s="10" t="s">
        <v>15</v>
      </c>
      <c r="C11" s="11" t="s">
        <v>16</v>
      </c>
      <c r="D11" s="12" t="s">
        <v>14</v>
      </c>
      <c r="E11" s="13">
        <f>E12+E80</f>
        <v>426113235.23999995</v>
      </c>
      <c r="F11" s="13">
        <f>F12+F80</f>
        <v>16379069.44</v>
      </c>
      <c r="G11" s="13">
        <f>F11-E11</f>
        <v>-409734165.79999995</v>
      </c>
      <c r="H11" s="14">
        <f>F11/E11</f>
        <v>0.03843830251077465</v>
      </c>
      <c r="I11" s="13">
        <f>I12+I80</f>
        <v>397097978.61</v>
      </c>
      <c r="J11" s="13">
        <f>J12+J80</f>
        <v>16636685.38</v>
      </c>
      <c r="K11" s="13">
        <f>K12+K80</f>
        <v>16482149.879999999</v>
      </c>
      <c r="L11" s="13">
        <f>K11-J11</f>
        <v>-154535.50000000186</v>
      </c>
      <c r="M11" s="14">
        <f>K11/J11</f>
        <v>0.9907111605184421</v>
      </c>
      <c r="N11" s="13">
        <f>K11-I11</f>
        <v>-380615828.73</v>
      </c>
      <c r="O11" s="14">
        <f>K11/I11</f>
        <v>0.04150650662512573</v>
      </c>
      <c r="P11" s="13">
        <f>K11-F11</f>
        <v>103080.43999999948</v>
      </c>
      <c r="Q11" s="15"/>
    </row>
    <row r="12" spans="1:17" s="16" customFormat="1" ht="33" customHeight="1">
      <c r="A12" s="9"/>
      <c r="B12" s="17" t="s">
        <v>17</v>
      </c>
      <c r="C12" s="18" t="s">
        <v>18</v>
      </c>
      <c r="D12" s="19"/>
      <c r="E12" s="20">
        <f>E13+E39+E40+E62+E66+E76</f>
        <v>352618682.34999996</v>
      </c>
      <c r="F12" s="20">
        <f>F13+F39+F40+F62+F66+F76</f>
        <v>13576192.84</v>
      </c>
      <c r="G12" s="20">
        <f>F12-E12</f>
        <v>-339042489.51</v>
      </c>
      <c r="H12" s="21">
        <f>F12/E12</f>
        <v>0.03850105941501032</v>
      </c>
      <c r="I12" s="20">
        <f>I13+I39+I40+I62+I66+I76</f>
        <v>336128470</v>
      </c>
      <c r="J12" s="20">
        <f>J13+J39+J40+J62+J66+J76</f>
        <v>14406368.9</v>
      </c>
      <c r="K12" s="20">
        <f>K13+K39+K40+K62+K66+K76</f>
        <v>11531952.86</v>
      </c>
      <c r="L12" s="22">
        <f>K12-J12</f>
        <v>-2874416.040000001</v>
      </c>
      <c r="M12" s="21">
        <f>I12/G12</f>
        <v>-0.9914051495014342</v>
      </c>
      <c r="N12" s="22">
        <f>K12-I12</f>
        <v>-324596517.14</v>
      </c>
      <c r="O12" s="21">
        <f>K12/I12</f>
        <v>0.034308170503974264</v>
      </c>
      <c r="P12" s="20">
        <f>K12-F12</f>
        <v>-2044239.9800000004</v>
      </c>
      <c r="Q12" s="23"/>
    </row>
    <row r="13" spans="1:17" s="32" customFormat="1" ht="48" customHeight="1" outlineLevel="2">
      <c r="A13" s="24" t="s">
        <v>19</v>
      </c>
      <c r="B13" s="25" t="s">
        <v>20</v>
      </c>
      <c r="C13" s="26" t="s">
        <v>21</v>
      </c>
      <c r="D13" s="27" t="s">
        <v>19</v>
      </c>
      <c r="E13" s="141">
        <v>190630093.23</v>
      </c>
      <c r="F13" s="141">
        <v>9438847.52</v>
      </c>
      <c r="G13" s="145">
        <f>F13-E13</f>
        <v>-181191245.70999998</v>
      </c>
      <c r="H13" s="29">
        <f>F13/E13</f>
        <v>0.049513942736269835</v>
      </c>
      <c r="I13" s="28">
        <v>179717500</v>
      </c>
      <c r="J13" s="30">
        <v>8290000</v>
      </c>
      <c r="K13" s="141">
        <v>9257872.33</v>
      </c>
      <c r="L13" s="28">
        <f>K13-J13</f>
        <v>967872.3300000001</v>
      </c>
      <c r="M13" s="29">
        <f>K13/J13</f>
        <v>1.116751788902292</v>
      </c>
      <c r="N13" s="28">
        <f>K13-I13</f>
        <v>-170459627.67</v>
      </c>
      <c r="O13" s="29">
        <f aca="true" t="shared" si="0" ref="O13:O78">K13/I13</f>
        <v>0.05151347158735237</v>
      </c>
      <c r="P13" s="28">
        <f>K13-F13</f>
        <v>-180975.18999999948</v>
      </c>
      <c r="Q13" s="31"/>
    </row>
    <row r="14" spans="1:17" s="32" customFormat="1" ht="6.75" customHeight="1" outlineLevel="2">
      <c r="A14" s="24"/>
      <c r="B14" s="33"/>
      <c r="C14" s="34"/>
      <c r="D14" s="35"/>
      <c r="E14" s="42"/>
      <c r="F14" s="39"/>
      <c r="G14" s="146"/>
      <c r="H14" s="38"/>
      <c r="I14" s="36"/>
      <c r="J14" s="37"/>
      <c r="K14" s="142"/>
      <c r="L14" s="36"/>
      <c r="M14" s="38"/>
      <c r="N14" s="36"/>
      <c r="O14" s="38"/>
      <c r="P14" s="36"/>
      <c r="Q14" s="40"/>
    </row>
    <row r="15" spans="1:17" s="32" customFormat="1" ht="15.75" customHeight="1" hidden="1" outlineLevel="3">
      <c r="A15" s="24" t="s">
        <v>22</v>
      </c>
      <c r="B15" s="33"/>
      <c r="C15" s="41" t="s">
        <v>23</v>
      </c>
      <c r="D15" s="143" t="s">
        <v>22</v>
      </c>
      <c r="E15" s="51"/>
      <c r="F15" s="42"/>
      <c r="G15" s="43">
        <f aca="true" t="shared" si="1" ref="G15:G40">F15-E15</f>
        <v>0</v>
      </c>
      <c r="H15" s="44" t="e">
        <f aca="true" t="shared" si="2" ref="H15:H40">F15/E15</f>
        <v>#DIV/0!</v>
      </c>
      <c r="I15" s="42">
        <v>148555700</v>
      </c>
      <c r="J15" s="42"/>
      <c r="K15" s="42"/>
      <c r="L15" s="42"/>
      <c r="M15" s="45" t="e">
        <f aca="true" t="shared" si="3" ref="M15:M75">I15/G15</f>
        <v>#DIV/0!</v>
      </c>
      <c r="N15" s="42"/>
      <c r="O15" s="45">
        <f t="shared" si="0"/>
        <v>0</v>
      </c>
      <c r="P15" s="46">
        <f aca="true" t="shared" si="4" ref="P15:P40">K15-F15</f>
        <v>0</v>
      </c>
      <c r="Q15" s="47"/>
    </row>
    <row r="16" spans="1:17" s="32" customFormat="1" ht="210" customHeight="1" hidden="1" outlineLevel="4">
      <c r="A16" s="24" t="s">
        <v>24</v>
      </c>
      <c r="B16" s="48"/>
      <c r="C16" s="49" t="s">
        <v>25</v>
      </c>
      <c r="D16" s="144" t="s">
        <v>24</v>
      </c>
      <c r="E16" s="51"/>
      <c r="F16" s="51"/>
      <c r="G16" s="52">
        <f t="shared" si="1"/>
        <v>0</v>
      </c>
      <c r="H16" s="53" t="e">
        <f t="shared" si="2"/>
        <v>#DIV/0!</v>
      </c>
      <c r="I16" s="51">
        <v>148555700</v>
      </c>
      <c r="J16" s="51"/>
      <c r="K16" s="51"/>
      <c r="L16" s="51"/>
      <c r="M16" s="54" t="e">
        <f t="shared" si="3"/>
        <v>#DIV/0!</v>
      </c>
      <c r="N16" s="51"/>
      <c r="O16" s="54">
        <f t="shared" si="0"/>
        <v>0</v>
      </c>
      <c r="P16" s="55">
        <f t="shared" si="4"/>
        <v>0</v>
      </c>
      <c r="Q16" s="56"/>
    </row>
    <row r="17" spans="1:17" s="32" customFormat="1" ht="210" customHeight="1" hidden="1" outlineLevel="5">
      <c r="A17" s="24" t="s">
        <v>24</v>
      </c>
      <c r="B17" s="48"/>
      <c r="C17" s="49" t="s">
        <v>26</v>
      </c>
      <c r="D17" s="144" t="s">
        <v>24</v>
      </c>
      <c r="E17" s="51"/>
      <c r="F17" s="51"/>
      <c r="G17" s="52">
        <f t="shared" si="1"/>
        <v>0</v>
      </c>
      <c r="H17" s="53" t="e">
        <f t="shared" si="2"/>
        <v>#DIV/0!</v>
      </c>
      <c r="I17" s="51">
        <v>148555700</v>
      </c>
      <c r="J17" s="51"/>
      <c r="K17" s="51"/>
      <c r="L17" s="51"/>
      <c r="M17" s="54" t="e">
        <f t="shared" si="3"/>
        <v>#DIV/0!</v>
      </c>
      <c r="N17" s="51"/>
      <c r="O17" s="54">
        <f t="shared" si="0"/>
        <v>0</v>
      </c>
      <c r="P17" s="55">
        <f t="shared" si="4"/>
        <v>0</v>
      </c>
      <c r="Q17" s="56"/>
    </row>
    <row r="18" spans="1:17" s="32" customFormat="1" ht="210" customHeight="1" hidden="1" outlineLevel="5">
      <c r="A18" s="24" t="s">
        <v>27</v>
      </c>
      <c r="B18" s="48"/>
      <c r="C18" s="49" t="s">
        <v>28</v>
      </c>
      <c r="D18" s="144" t="s">
        <v>27</v>
      </c>
      <c r="E18" s="51"/>
      <c r="F18" s="51"/>
      <c r="G18" s="52">
        <f t="shared" si="1"/>
        <v>0</v>
      </c>
      <c r="H18" s="53" t="e">
        <f t="shared" si="2"/>
        <v>#DIV/0!</v>
      </c>
      <c r="I18" s="51">
        <v>0</v>
      </c>
      <c r="J18" s="51"/>
      <c r="K18" s="51"/>
      <c r="L18" s="51"/>
      <c r="M18" s="54" t="e">
        <f t="shared" si="3"/>
        <v>#DIV/0!</v>
      </c>
      <c r="N18" s="51"/>
      <c r="O18" s="54" t="e">
        <f t="shared" si="0"/>
        <v>#DIV/0!</v>
      </c>
      <c r="P18" s="55">
        <f t="shared" si="4"/>
        <v>0</v>
      </c>
      <c r="Q18" s="56"/>
    </row>
    <row r="19" spans="1:17" s="32" customFormat="1" ht="210" customHeight="1" hidden="1" outlineLevel="5">
      <c r="A19" s="24" t="s">
        <v>29</v>
      </c>
      <c r="B19" s="48"/>
      <c r="C19" s="49" t="s">
        <v>26</v>
      </c>
      <c r="D19" s="144" t="s">
        <v>29</v>
      </c>
      <c r="E19" s="51"/>
      <c r="F19" s="51"/>
      <c r="G19" s="52">
        <f t="shared" si="1"/>
        <v>0</v>
      </c>
      <c r="H19" s="53" t="e">
        <f t="shared" si="2"/>
        <v>#DIV/0!</v>
      </c>
      <c r="I19" s="51">
        <v>0</v>
      </c>
      <c r="J19" s="51"/>
      <c r="K19" s="51"/>
      <c r="L19" s="51"/>
      <c r="M19" s="54" t="e">
        <f t="shared" si="3"/>
        <v>#DIV/0!</v>
      </c>
      <c r="N19" s="51"/>
      <c r="O19" s="54" t="e">
        <f t="shared" si="0"/>
        <v>#DIV/0!</v>
      </c>
      <c r="P19" s="55">
        <f t="shared" si="4"/>
        <v>0</v>
      </c>
      <c r="Q19" s="56"/>
    </row>
    <row r="20" spans="1:17" s="32" customFormat="1" ht="210" customHeight="1" hidden="1" outlineLevel="5">
      <c r="A20" s="24" t="s">
        <v>30</v>
      </c>
      <c r="B20" s="48"/>
      <c r="C20" s="49" t="s">
        <v>26</v>
      </c>
      <c r="D20" s="144" t="s">
        <v>30</v>
      </c>
      <c r="E20" s="51"/>
      <c r="F20" s="51"/>
      <c r="G20" s="52">
        <f t="shared" si="1"/>
        <v>0</v>
      </c>
      <c r="H20" s="53" t="e">
        <f t="shared" si="2"/>
        <v>#DIV/0!</v>
      </c>
      <c r="I20" s="51">
        <v>0</v>
      </c>
      <c r="J20" s="51"/>
      <c r="K20" s="51"/>
      <c r="L20" s="51"/>
      <c r="M20" s="54" t="e">
        <f t="shared" si="3"/>
        <v>#DIV/0!</v>
      </c>
      <c r="N20" s="51"/>
      <c r="O20" s="54" t="e">
        <f t="shared" si="0"/>
        <v>#DIV/0!</v>
      </c>
      <c r="P20" s="55">
        <f t="shared" si="4"/>
        <v>0</v>
      </c>
      <c r="Q20" s="56"/>
    </row>
    <row r="21" spans="1:17" s="32" customFormat="1" ht="210" customHeight="1" hidden="1" outlineLevel="5">
      <c r="A21" s="24" t="s">
        <v>31</v>
      </c>
      <c r="B21" s="48"/>
      <c r="C21" s="49" t="s">
        <v>28</v>
      </c>
      <c r="D21" s="144" t="s">
        <v>31</v>
      </c>
      <c r="E21" s="51"/>
      <c r="F21" s="51"/>
      <c r="G21" s="52">
        <f t="shared" si="1"/>
        <v>0</v>
      </c>
      <c r="H21" s="53" t="e">
        <f t="shared" si="2"/>
        <v>#DIV/0!</v>
      </c>
      <c r="I21" s="51">
        <v>0</v>
      </c>
      <c r="J21" s="51"/>
      <c r="K21" s="51"/>
      <c r="L21" s="51"/>
      <c r="M21" s="54" t="e">
        <f t="shared" si="3"/>
        <v>#DIV/0!</v>
      </c>
      <c r="N21" s="51"/>
      <c r="O21" s="54" t="e">
        <f t="shared" si="0"/>
        <v>#DIV/0!</v>
      </c>
      <c r="P21" s="55">
        <f t="shared" si="4"/>
        <v>0</v>
      </c>
      <c r="Q21" s="56"/>
    </row>
    <row r="22" spans="1:17" s="32" customFormat="1" ht="15.75" customHeight="1" hidden="1" outlineLevel="3">
      <c r="A22" s="24" t="s">
        <v>32</v>
      </c>
      <c r="B22" s="48"/>
      <c r="C22" s="49" t="s">
        <v>23</v>
      </c>
      <c r="D22" s="144" t="s">
        <v>32</v>
      </c>
      <c r="E22" s="51"/>
      <c r="F22" s="51"/>
      <c r="G22" s="52">
        <f t="shared" si="1"/>
        <v>0</v>
      </c>
      <c r="H22" s="53" t="e">
        <f t="shared" si="2"/>
        <v>#DIV/0!</v>
      </c>
      <c r="I22" s="51">
        <v>750300</v>
      </c>
      <c r="J22" s="51"/>
      <c r="K22" s="51"/>
      <c r="L22" s="51"/>
      <c r="M22" s="54" t="e">
        <f t="shared" si="3"/>
        <v>#DIV/0!</v>
      </c>
      <c r="N22" s="51"/>
      <c r="O22" s="54">
        <f t="shared" si="0"/>
        <v>0</v>
      </c>
      <c r="P22" s="55">
        <f t="shared" si="4"/>
        <v>0</v>
      </c>
      <c r="Q22" s="56"/>
    </row>
    <row r="23" spans="1:17" s="32" customFormat="1" ht="330" customHeight="1" hidden="1" outlineLevel="4">
      <c r="A23" s="24" t="s">
        <v>33</v>
      </c>
      <c r="B23" s="48"/>
      <c r="C23" s="49" t="s">
        <v>34</v>
      </c>
      <c r="D23" s="144" t="s">
        <v>33</v>
      </c>
      <c r="E23" s="51"/>
      <c r="F23" s="51"/>
      <c r="G23" s="52">
        <f t="shared" si="1"/>
        <v>0</v>
      </c>
      <c r="H23" s="53" t="e">
        <f t="shared" si="2"/>
        <v>#DIV/0!</v>
      </c>
      <c r="I23" s="51">
        <v>750300</v>
      </c>
      <c r="J23" s="51"/>
      <c r="K23" s="51"/>
      <c r="L23" s="51"/>
      <c r="M23" s="54" t="e">
        <f t="shared" si="3"/>
        <v>#DIV/0!</v>
      </c>
      <c r="N23" s="51"/>
      <c r="O23" s="54">
        <f t="shared" si="0"/>
        <v>0</v>
      </c>
      <c r="P23" s="55">
        <f t="shared" si="4"/>
        <v>0</v>
      </c>
      <c r="Q23" s="56"/>
    </row>
    <row r="24" spans="1:17" s="32" customFormat="1" ht="330" customHeight="1" hidden="1" outlineLevel="5">
      <c r="A24" s="24" t="s">
        <v>33</v>
      </c>
      <c r="B24" s="48"/>
      <c r="C24" s="49" t="s">
        <v>35</v>
      </c>
      <c r="D24" s="144" t="s">
        <v>33</v>
      </c>
      <c r="E24" s="51"/>
      <c r="F24" s="51"/>
      <c r="G24" s="52">
        <f t="shared" si="1"/>
        <v>0</v>
      </c>
      <c r="H24" s="53" t="e">
        <f t="shared" si="2"/>
        <v>#DIV/0!</v>
      </c>
      <c r="I24" s="51">
        <v>750300</v>
      </c>
      <c r="J24" s="51"/>
      <c r="K24" s="51"/>
      <c r="L24" s="51"/>
      <c r="M24" s="54" t="e">
        <f t="shared" si="3"/>
        <v>#DIV/0!</v>
      </c>
      <c r="N24" s="51"/>
      <c r="O24" s="54">
        <f t="shared" si="0"/>
        <v>0</v>
      </c>
      <c r="P24" s="55">
        <f t="shared" si="4"/>
        <v>0</v>
      </c>
      <c r="Q24" s="56"/>
    </row>
    <row r="25" spans="1:17" s="32" customFormat="1" ht="330" customHeight="1" hidden="1" outlineLevel="5">
      <c r="A25" s="24" t="s">
        <v>36</v>
      </c>
      <c r="B25" s="48"/>
      <c r="C25" s="49" t="s">
        <v>35</v>
      </c>
      <c r="D25" s="144" t="s">
        <v>36</v>
      </c>
      <c r="E25" s="51"/>
      <c r="F25" s="51"/>
      <c r="G25" s="52">
        <f t="shared" si="1"/>
        <v>0</v>
      </c>
      <c r="H25" s="53" t="e">
        <f t="shared" si="2"/>
        <v>#DIV/0!</v>
      </c>
      <c r="I25" s="51">
        <v>0</v>
      </c>
      <c r="J25" s="51"/>
      <c r="K25" s="51"/>
      <c r="L25" s="51"/>
      <c r="M25" s="54" t="e">
        <f t="shared" si="3"/>
        <v>#DIV/0!</v>
      </c>
      <c r="N25" s="51"/>
      <c r="O25" s="54" t="e">
        <f t="shared" si="0"/>
        <v>#DIV/0!</v>
      </c>
      <c r="P25" s="55">
        <f t="shared" si="4"/>
        <v>0</v>
      </c>
      <c r="Q25" s="56"/>
    </row>
    <row r="26" spans="1:17" s="32" customFormat="1" ht="15.75" customHeight="1" hidden="1" outlineLevel="5">
      <c r="A26" s="24" t="s">
        <v>37</v>
      </c>
      <c r="B26" s="48"/>
      <c r="C26" s="49">
        <v>1.82101020200121E+19</v>
      </c>
      <c r="D26" s="144" t="s">
        <v>37</v>
      </c>
      <c r="E26" s="51"/>
      <c r="F26" s="51"/>
      <c r="G26" s="52">
        <f t="shared" si="1"/>
        <v>0</v>
      </c>
      <c r="H26" s="53" t="e">
        <f t="shared" si="2"/>
        <v>#DIV/0!</v>
      </c>
      <c r="I26" s="51">
        <v>0</v>
      </c>
      <c r="J26" s="51"/>
      <c r="K26" s="51"/>
      <c r="L26" s="51"/>
      <c r="M26" s="54" t="e">
        <f t="shared" si="3"/>
        <v>#DIV/0!</v>
      </c>
      <c r="N26" s="51"/>
      <c r="O26" s="54" t="e">
        <f t="shared" si="0"/>
        <v>#DIV/0!</v>
      </c>
      <c r="P26" s="55">
        <f t="shared" si="4"/>
        <v>0</v>
      </c>
      <c r="Q26" s="56"/>
    </row>
    <row r="27" spans="1:17" s="32" customFormat="1" ht="330" customHeight="1" hidden="1" outlineLevel="5">
      <c r="A27" s="24" t="s">
        <v>38</v>
      </c>
      <c r="B27" s="48"/>
      <c r="C27" s="49" t="s">
        <v>35</v>
      </c>
      <c r="D27" s="144" t="s">
        <v>38</v>
      </c>
      <c r="E27" s="51"/>
      <c r="F27" s="51"/>
      <c r="G27" s="52">
        <f t="shared" si="1"/>
        <v>0</v>
      </c>
      <c r="H27" s="53" t="e">
        <f t="shared" si="2"/>
        <v>#DIV/0!</v>
      </c>
      <c r="I27" s="51">
        <v>0</v>
      </c>
      <c r="J27" s="51"/>
      <c r="K27" s="51"/>
      <c r="L27" s="51"/>
      <c r="M27" s="54" t="e">
        <f t="shared" si="3"/>
        <v>#DIV/0!</v>
      </c>
      <c r="N27" s="51"/>
      <c r="O27" s="54" t="e">
        <f t="shared" si="0"/>
        <v>#DIV/0!</v>
      </c>
      <c r="P27" s="55">
        <f t="shared" si="4"/>
        <v>0</v>
      </c>
      <c r="Q27" s="56"/>
    </row>
    <row r="28" spans="1:17" s="32" customFormat="1" ht="15.75" customHeight="1" hidden="1" outlineLevel="3">
      <c r="A28" s="24" t="s">
        <v>39</v>
      </c>
      <c r="B28" s="48"/>
      <c r="C28" s="49" t="s">
        <v>23</v>
      </c>
      <c r="D28" s="144" t="s">
        <v>39</v>
      </c>
      <c r="E28" s="51"/>
      <c r="F28" s="51"/>
      <c r="G28" s="52">
        <f t="shared" si="1"/>
        <v>0</v>
      </c>
      <c r="H28" s="53" t="e">
        <f t="shared" si="2"/>
        <v>#DIV/0!</v>
      </c>
      <c r="I28" s="51">
        <v>450200</v>
      </c>
      <c r="J28" s="51"/>
      <c r="K28" s="51"/>
      <c r="L28" s="51"/>
      <c r="M28" s="54" t="e">
        <f t="shared" si="3"/>
        <v>#DIV/0!</v>
      </c>
      <c r="N28" s="51"/>
      <c r="O28" s="54">
        <f t="shared" si="0"/>
        <v>0</v>
      </c>
      <c r="P28" s="55">
        <f t="shared" si="4"/>
        <v>0</v>
      </c>
      <c r="Q28" s="56"/>
    </row>
    <row r="29" spans="1:17" s="32" customFormat="1" ht="120" customHeight="1" hidden="1" outlineLevel="4">
      <c r="A29" s="24" t="s">
        <v>40</v>
      </c>
      <c r="B29" s="48"/>
      <c r="C29" s="49" t="s">
        <v>41</v>
      </c>
      <c r="D29" s="144" t="s">
        <v>40</v>
      </c>
      <c r="E29" s="51"/>
      <c r="F29" s="51"/>
      <c r="G29" s="52">
        <f t="shared" si="1"/>
        <v>0</v>
      </c>
      <c r="H29" s="53" t="e">
        <f t="shared" si="2"/>
        <v>#DIV/0!</v>
      </c>
      <c r="I29" s="51">
        <v>450200</v>
      </c>
      <c r="J29" s="51"/>
      <c r="K29" s="51"/>
      <c r="L29" s="51"/>
      <c r="M29" s="54" t="e">
        <f t="shared" si="3"/>
        <v>#DIV/0!</v>
      </c>
      <c r="N29" s="51"/>
      <c r="O29" s="54">
        <f t="shared" si="0"/>
        <v>0</v>
      </c>
      <c r="P29" s="55">
        <f t="shared" si="4"/>
        <v>0</v>
      </c>
      <c r="Q29" s="56"/>
    </row>
    <row r="30" spans="1:17" s="32" customFormat="1" ht="120" customHeight="1" hidden="1" outlineLevel="5">
      <c r="A30" s="24" t="s">
        <v>40</v>
      </c>
      <c r="B30" s="48"/>
      <c r="C30" s="49" t="s">
        <v>42</v>
      </c>
      <c r="D30" s="144" t="s">
        <v>40</v>
      </c>
      <c r="E30" s="51"/>
      <c r="F30" s="51"/>
      <c r="G30" s="52">
        <f t="shared" si="1"/>
        <v>0</v>
      </c>
      <c r="H30" s="53" t="e">
        <f t="shared" si="2"/>
        <v>#DIV/0!</v>
      </c>
      <c r="I30" s="51">
        <v>450200</v>
      </c>
      <c r="J30" s="51"/>
      <c r="K30" s="51"/>
      <c r="L30" s="51"/>
      <c r="M30" s="54" t="e">
        <f t="shared" si="3"/>
        <v>#DIV/0!</v>
      </c>
      <c r="N30" s="51"/>
      <c r="O30" s="54">
        <f t="shared" si="0"/>
        <v>0</v>
      </c>
      <c r="P30" s="55">
        <f t="shared" si="4"/>
        <v>0</v>
      </c>
      <c r="Q30" s="56"/>
    </row>
    <row r="31" spans="1:17" s="32" customFormat="1" ht="120" customHeight="1" hidden="1" outlineLevel="5">
      <c r="A31" s="24" t="s">
        <v>43</v>
      </c>
      <c r="B31" s="48"/>
      <c r="C31" s="49" t="s">
        <v>44</v>
      </c>
      <c r="D31" s="144" t="s">
        <v>43</v>
      </c>
      <c r="E31" s="51"/>
      <c r="F31" s="51"/>
      <c r="G31" s="52">
        <f t="shared" si="1"/>
        <v>0</v>
      </c>
      <c r="H31" s="53" t="e">
        <f t="shared" si="2"/>
        <v>#DIV/0!</v>
      </c>
      <c r="I31" s="51">
        <v>0</v>
      </c>
      <c r="J31" s="51"/>
      <c r="K31" s="51"/>
      <c r="L31" s="51"/>
      <c r="M31" s="54" t="e">
        <f t="shared" si="3"/>
        <v>#DIV/0!</v>
      </c>
      <c r="N31" s="51"/>
      <c r="O31" s="54" t="e">
        <f t="shared" si="0"/>
        <v>#DIV/0!</v>
      </c>
      <c r="P31" s="55">
        <f t="shared" si="4"/>
        <v>0</v>
      </c>
      <c r="Q31" s="56"/>
    </row>
    <row r="32" spans="1:17" s="32" customFormat="1" ht="15.75" customHeight="1" hidden="1" outlineLevel="5">
      <c r="A32" s="24" t="s">
        <v>45</v>
      </c>
      <c r="B32" s="48"/>
      <c r="C32" s="49">
        <v>1.82101020300121E+19</v>
      </c>
      <c r="D32" s="144" t="s">
        <v>45</v>
      </c>
      <c r="E32" s="51"/>
      <c r="F32" s="51"/>
      <c r="G32" s="52">
        <f t="shared" si="1"/>
        <v>0</v>
      </c>
      <c r="H32" s="53" t="e">
        <f t="shared" si="2"/>
        <v>#DIV/0!</v>
      </c>
      <c r="I32" s="51">
        <v>0</v>
      </c>
      <c r="J32" s="51"/>
      <c r="K32" s="51"/>
      <c r="L32" s="51"/>
      <c r="M32" s="54" t="e">
        <f t="shared" si="3"/>
        <v>#DIV/0!</v>
      </c>
      <c r="N32" s="51"/>
      <c r="O32" s="54" t="e">
        <f t="shared" si="0"/>
        <v>#DIV/0!</v>
      </c>
      <c r="P32" s="55">
        <f t="shared" si="4"/>
        <v>0</v>
      </c>
      <c r="Q32" s="56"/>
    </row>
    <row r="33" spans="1:17" s="32" customFormat="1" ht="120" customHeight="1" hidden="1" outlineLevel="5">
      <c r="A33" s="24" t="s">
        <v>46</v>
      </c>
      <c r="B33" s="48"/>
      <c r="C33" s="49" t="s">
        <v>44</v>
      </c>
      <c r="D33" s="144" t="s">
        <v>46</v>
      </c>
      <c r="E33" s="51"/>
      <c r="F33" s="51"/>
      <c r="G33" s="52">
        <f t="shared" si="1"/>
        <v>0</v>
      </c>
      <c r="H33" s="53" t="e">
        <f t="shared" si="2"/>
        <v>#DIV/0!</v>
      </c>
      <c r="I33" s="51">
        <v>0</v>
      </c>
      <c r="J33" s="51"/>
      <c r="K33" s="51"/>
      <c r="L33" s="51"/>
      <c r="M33" s="54" t="e">
        <f t="shared" si="3"/>
        <v>#DIV/0!</v>
      </c>
      <c r="N33" s="51"/>
      <c r="O33" s="54" t="e">
        <f t="shared" si="0"/>
        <v>#DIV/0!</v>
      </c>
      <c r="P33" s="55">
        <f t="shared" si="4"/>
        <v>0</v>
      </c>
      <c r="Q33" s="56"/>
    </row>
    <row r="34" spans="1:17" s="32" customFormat="1" ht="120" customHeight="1" hidden="1" outlineLevel="5">
      <c r="A34" s="24" t="s">
        <v>47</v>
      </c>
      <c r="B34" s="48"/>
      <c r="C34" s="49" t="s">
        <v>44</v>
      </c>
      <c r="D34" s="144" t="s">
        <v>47</v>
      </c>
      <c r="E34" s="51"/>
      <c r="F34" s="51"/>
      <c r="G34" s="52">
        <f t="shared" si="1"/>
        <v>0</v>
      </c>
      <c r="H34" s="53" t="e">
        <f t="shared" si="2"/>
        <v>#DIV/0!</v>
      </c>
      <c r="I34" s="51">
        <v>0</v>
      </c>
      <c r="J34" s="51"/>
      <c r="K34" s="51"/>
      <c r="L34" s="51"/>
      <c r="M34" s="54" t="e">
        <f t="shared" si="3"/>
        <v>#DIV/0!</v>
      </c>
      <c r="N34" s="51"/>
      <c r="O34" s="54" t="e">
        <f t="shared" si="0"/>
        <v>#DIV/0!</v>
      </c>
      <c r="P34" s="55">
        <f t="shared" si="4"/>
        <v>0</v>
      </c>
      <c r="Q34" s="56"/>
    </row>
    <row r="35" spans="1:17" s="32" customFormat="1" ht="15.75" customHeight="1" hidden="1" outlineLevel="3">
      <c r="A35" s="24" t="s">
        <v>48</v>
      </c>
      <c r="B35" s="48"/>
      <c r="C35" s="49" t="s">
        <v>23</v>
      </c>
      <c r="D35" s="144" t="s">
        <v>48</v>
      </c>
      <c r="E35" s="51"/>
      <c r="F35" s="51"/>
      <c r="G35" s="52">
        <f t="shared" si="1"/>
        <v>0</v>
      </c>
      <c r="H35" s="53" t="e">
        <f t="shared" si="2"/>
        <v>#DIV/0!</v>
      </c>
      <c r="I35" s="51">
        <v>300100</v>
      </c>
      <c r="J35" s="51"/>
      <c r="K35" s="51"/>
      <c r="L35" s="51"/>
      <c r="M35" s="54" t="e">
        <f t="shared" si="3"/>
        <v>#DIV/0!</v>
      </c>
      <c r="N35" s="51"/>
      <c r="O35" s="54">
        <f t="shared" si="0"/>
        <v>0</v>
      </c>
      <c r="P35" s="55">
        <f t="shared" si="4"/>
        <v>0</v>
      </c>
      <c r="Q35" s="56"/>
    </row>
    <row r="36" spans="1:17" s="32" customFormat="1" ht="270" customHeight="1" hidden="1" outlineLevel="4">
      <c r="A36" s="24" t="s">
        <v>49</v>
      </c>
      <c r="B36" s="48"/>
      <c r="C36" s="49" t="s">
        <v>50</v>
      </c>
      <c r="D36" s="144" t="s">
        <v>49</v>
      </c>
      <c r="E36" s="51"/>
      <c r="F36" s="51"/>
      <c r="G36" s="52">
        <f t="shared" si="1"/>
        <v>0</v>
      </c>
      <c r="H36" s="53" t="e">
        <f t="shared" si="2"/>
        <v>#DIV/0!</v>
      </c>
      <c r="I36" s="51">
        <v>300100</v>
      </c>
      <c r="J36" s="51"/>
      <c r="K36" s="51"/>
      <c r="L36" s="51"/>
      <c r="M36" s="54" t="e">
        <f t="shared" si="3"/>
        <v>#DIV/0!</v>
      </c>
      <c r="N36" s="51"/>
      <c r="O36" s="54">
        <f t="shared" si="0"/>
        <v>0</v>
      </c>
      <c r="P36" s="55">
        <f t="shared" si="4"/>
        <v>0</v>
      </c>
      <c r="Q36" s="56"/>
    </row>
    <row r="37" spans="1:17" s="32" customFormat="1" ht="270" customHeight="1" hidden="1" outlineLevel="5">
      <c r="A37" s="24" t="s">
        <v>49</v>
      </c>
      <c r="B37" s="48"/>
      <c r="C37" s="49" t="s">
        <v>51</v>
      </c>
      <c r="D37" s="144" t="s">
        <v>49</v>
      </c>
      <c r="E37" s="51"/>
      <c r="F37" s="51"/>
      <c r="G37" s="52">
        <f t="shared" si="1"/>
        <v>0</v>
      </c>
      <c r="H37" s="53" t="e">
        <f t="shared" si="2"/>
        <v>#DIV/0!</v>
      </c>
      <c r="I37" s="51">
        <v>300100</v>
      </c>
      <c r="J37" s="51"/>
      <c r="K37" s="51"/>
      <c r="L37" s="51"/>
      <c r="M37" s="54" t="e">
        <f t="shared" si="3"/>
        <v>#DIV/0!</v>
      </c>
      <c r="N37" s="51"/>
      <c r="O37" s="54">
        <f t="shared" si="0"/>
        <v>0</v>
      </c>
      <c r="P37" s="55">
        <f t="shared" si="4"/>
        <v>0</v>
      </c>
      <c r="Q37" s="56"/>
    </row>
    <row r="38" spans="1:17" s="32" customFormat="1" ht="409.5" customHeight="1" hidden="1" outlineLevel="5">
      <c r="A38" s="24" t="s">
        <v>52</v>
      </c>
      <c r="B38" s="48"/>
      <c r="C38" s="49" t="s">
        <v>53</v>
      </c>
      <c r="D38" s="144" t="s">
        <v>52</v>
      </c>
      <c r="E38" s="51">
        <v>8650982.19</v>
      </c>
      <c r="F38" s="51"/>
      <c r="G38" s="52">
        <f t="shared" si="1"/>
        <v>-8650982.19</v>
      </c>
      <c r="H38" s="53">
        <f t="shared" si="2"/>
        <v>0</v>
      </c>
      <c r="I38" s="51">
        <v>0</v>
      </c>
      <c r="J38" s="51"/>
      <c r="K38" s="51"/>
      <c r="L38" s="51"/>
      <c r="M38" s="54">
        <f t="shared" si="3"/>
        <v>0</v>
      </c>
      <c r="N38" s="51"/>
      <c r="O38" s="54" t="e">
        <f t="shared" si="0"/>
        <v>#DIV/0!</v>
      </c>
      <c r="P38" s="55">
        <f t="shared" si="4"/>
        <v>0</v>
      </c>
      <c r="Q38" s="56"/>
    </row>
    <row r="39" spans="1:17" s="32" customFormat="1" ht="43.5" customHeight="1" outlineLevel="2" collapsed="1">
      <c r="A39" s="24" t="s">
        <v>54</v>
      </c>
      <c r="B39" s="48" t="s">
        <v>55</v>
      </c>
      <c r="C39" s="49" t="s">
        <v>56</v>
      </c>
      <c r="D39" s="144" t="s">
        <v>54</v>
      </c>
      <c r="E39" s="51">
        <v>10254357.32</v>
      </c>
      <c r="F39" s="51">
        <v>832334.35</v>
      </c>
      <c r="G39" s="52">
        <f t="shared" si="1"/>
        <v>-9422022.97</v>
      </c>
      <c r="H39" s="53">
        <f t="shared" si="2"/>
        <v>0.0811688459867322</v>
      </c>
      <c r="I39" s="51">
        <v>9197170</v>
      </c>
      <c r="J39" s="51">
        <v>676056.9</v>
      </c>
      <c r="K39" s="51">
        <v>395235.68</v>
      </c>
      <c r="L39" s="28">
        <f>K39-J39</f>
        <v>-280821.22000000003</v>
      </c>
      <c r="M39" s="54">
        <f t="shared" si="3"/>
        <v>-0.9761353829516295</v>
      </c>
      <c r="N39" s="51">
        <f>K39-I39</f>
        <v>-8801934.32</v>
      </c>
      <c r="O39" s="54">
        <f t="shared" si="0"/>
        <v>0.04297361905890616</v>
      </c>
      <c r="P39" s="55">
        <f t="shared" si="4"/>
        <v>-437098.67</v>
      </c>
      <c r="Q39" s="57"/>
    </row>
    <row r="40" spans="1:17" s="32" customFormat="1" ht="43.5" customHeight="1" outlineLevel="1">
      <c r="A40" s="24" t="s">
        <v>57</v>
      </c>
      <c r="B40" s="48" t="s">
        <v>58</v>
      </c>
      <c r="C40" s="49" t="s">
        <v>59</v>
      </c>
      <c r="D40" s="144" t="s">
        <v>57</v>
      </c>
      <c r="E40" s="58">
        <f>E41+E42+E52+E56</f>
        <v>45903932.26</v>
      </c>
      <c r="F40" s="51">
        <f>F41+F42+F52+F56</f>
        <v>1244341.64</v>
      </c>
      <c r="G40" s="52">
        <f t="shared" si="1"/>
        <v>-44659590.62</v>
      </c>
      <c r="H40" s="53">
        <f t="shared" si="2"/>
        <v>0.027107517346271023</v>
      </c>
      <c r="I40" s="51">
        <f>I41+I42+I52+I56</f>
        <v>44278800</v>
      </c>
      <c r="J40" s="51">
        <f>J41+J42+J52+J56</f>
        <v>1291804</v>
      </c>
      <c r="K40" s="51">
        <f>K41+K42+K52+K56</f>
        <v>-70757.71999999997</v>
      </c>
      <c r="L40" s="28">
        <f>K40-J40</f>
        <v>-1362561.72</v>
      </c>
      <c r="M40" s="54">
        <f t="shared" si="3"/>
        <v>-0.9914734861042487</v>
      </c>
      <c r="N40" s="51">
        <f>N41+N42+N52+N56</f>
        <v>-44349557.72</v>
      </c>
      <c r="O40" s="54">
        <f t="shared" si="0"/>
        <v>-0.0015980044626322297</v>
      </c>
      <c r="P40" s="55">
        <f t="shared" si="4"/>
        <v>-1315099.3599999999</v>
      </c>
      <c r="Q40" s="56"/>
    </row>
    <row r="41" spans="1:17" s="32" customFormat="1" ht="41.25" customHeight="1" outlineLevel="1">
      <c r="A41" s="24"/>
      <c r="B41" s="48" t="s">
        <v>60</v>
      </c>
      <c r="C41" s="59" t="s">
        <v>61</v>
      </c>
      <c r="D41" s="60" t="s">
        <v>62</v>
      </c>
      <c r="E41" s="61">
        <v>33191065.25</v>
      </c>
      <c r="F41" s="61">
        <v>986643.74</v>
      </c>
      <c r="G41" s="62">
        <f>F41-E41</f>
        <v>-32204421.51</v>
      </c>
      <c r="H41" s="63"/>
      <c r="I41" s="61">
        <v>31715800</v>
      </c>
      <c r="J41" s="61">
        <v>728906</v>
      </c>
      <c r="K41" s="61">
        <v>1368708.72</v>
      </c>
      <c r="L41" s="61">
        <f>K41-J41</f>
        <v>639802.72</v>
      </c>
      <c r="M41" s="63">
        <f t="shared" si="3"/>
        <v>-0.984827502340066</v>
      </c>
      <c r="N41" s="61">
        <f>K41-I41</f>
        <v>-30347091.28</v>
      </c>
      <c r="O41" s="63">
        <f t="shared" si="0"/>
        <v>0.04315542158797823</v>
      </c>
      <c r="P41" s="61">
        <f>K41-F41</f>
        <v>382064.98</v>
      </c>
      <c r="Q41" s="57"/>
    </row>
    <row r="42" spans="1:17" ht="28.5" outlineLevel="2">
      <c r="A42" s="64" t="s">
        <v>63</v>
      </c>
      <c r="B42" s="65" t="s">
        <v>64</v>
      </c>
      <c r="C42" s="59" t="s">
        <v>65</v>
      </c>
      <c r="D42" s="60" t="s">
        <v>63</v>
      </c>
      <c r="E42" s="61">
        <v>108221.73</v>
      </c>
      <c r="F42" s="61">
        <v>15215.21</v>
      </c>
      <c r="G42" s="62">
        <f>F42-E42</f>
        <v>-93006.51999999999</v>
      </c>
      <c r="H42" s="63">
        <f>F42/E42</f>
        <v>0.14059292898015952</v>
      </c>
      <c r="I42" s="61"/>
      <c r="J42" s="61"/>
      <c r="K42" s="61">
        <v>-247649.69</v>
      </c>
      <c r="L42" s="61">
        <f aca="true" t="shared" si="5" ref="L42:L56">K42-J42</f>
        <v>-247649.69</v>
      </c>
      <c r="M42" s="63">
        <f t="shared" si="3"/>
        <v>0</v>
      </c>
      <c r="N42" s="61">
        <f>K42-I42</f>
        <v>-247649.69</v>
      </c>
      <c r="O42" s="63"/>
      <c r="P42" s="61">
        <f>K42-F42</f>
        <v>-262864.9</v>
      </c>
      <c r="Q42" s="66" t="s">
        <v>263</v>
      </c>
    </row>
    <row r="43" spans="1:17" ht="15" customHeight="1" hidden="1" outlineLevel="3">
      <c r="A43" s="64" t="s">
        <v>66</v>
      </c>
      <c r="B43" s="65"/>
      <c r="C43" s="59" t="s">
        <v>23</v>
      </c>
      <c r="D43" s="60" t="s">
        <v>66</v>
      </c>
      <c r="E43" s="61"/>
      <c r="F43" s="61"/>
      <c r="G43" s="62">
        <f aca="true" t="shared" si="6" ref="G43:G56">F43-E43</f>
        <v>0</v>
      </c>
      <c r="H43" s="63" t="e">
        <f aca="true" t="shared" si="7" ref="H43:H56">F43/E43</f>
        <v>#DIV/0!</v>
      </c>
      <c r="I43" s="61">
        <v>57591300</v>
      </c>
      <c r="J43" s="61"/>
      <c r="K43" s="61"/>
      <c r="L43" s="61">
        <f t="shared" si="5"/>
        <v>0</v>
      </c>
      <c r="M43" s="63" t="e">
        <f t="shared" si="3"/>
        <v>#DIV/0!</v>
      </c>
      <c r="N43" s="61">
        <f aca="true" t="shared" si="8" ref="N43:N56">K43-I43</f>
        <v>-57591300</v>
      </c>
      <c r="O43" s="63">
        <f t="shared" si="0"/>
        <v>0</v>
      </c>
      <c r="P43" s="61">
        <f aca="true" t="shared" si="9" ref="P43:P56">K43-F43</f>
        <v>0</v>
      </c>
      <c r="Q43" s="67"/>
    </row>
    <row r="44" spans="1:17" ht="57" customHeight="1" hidden="1" outlineLevel="4">
      <c r="A44" s="64" t="s">
        <v>67</v>
      </c>
      <c r="B44" s="65"/>
      <c r="C44" s="59" t="s">
        <v>68</v>
      </c>
      <c r="D44" s="60" t="s">
        <v>67</v>
      </c>
      <c r="E44" s="61"/>
      <c r="F44" s="61"/>
      <c r="G44" s="62">
        <f t="shared" si="6"/>
        <v>0</v>
      </c>
      <c r="H44" s="63" t="e">
        <f t="shared" si="7"/>
        <v>#DIV/0!</v>
      </c>
      <c r="I44" s="61">
        <v>57591300</v>
      </c>
      <c r="J44" s="61"/>
      <c r="K44" s="61"/>
      <c r="L44" s="61">
        <f t="shared" si="5"/>
        <v>0</v>
      </c>
      <c r="M44" s="63" t="e">
        <f t="shared" si="3"/>
        <v>#DIV/0!</v>
      </c>
      <c r="N44" s="61">
        <f t="shared" si="8"/>
        <v>-57591300</v>
      </c>
      <c r="O44" s="63">
        <f t="shared" si="0"/>
        <v>0</v>
      </c>
      <c r="P44" s="61">
        <f t="shared" si="9"/>
        <v>0</v>
      </c>
      <c r="Q44" s="67"/>
    </row>
    <row r="45" spans="1:17" ht="57" customHeight="1" hidden="1" outlineLevel="5">
      <c r="A45" s="64" t="s">
        <v>67</v>
      </c>
      <c r="B45" s="65"/>
      <c r="C45" s="59" t="s">
        <v>69</v>
      </c>
      <c r="D45" s="60" t="s">
        <v>67</v>
      </c>
      <c r="E45" s="61"/>
      <c r="F45" s="61"/>
      <c r="G45" s="62">
        <f t="shared" si="6"/>
        <v>0</v>
      </c>
      <c r="H45" s="63" t="e">
        <f t="shared" si="7"/>
        <v>#DIV/0!</v>
      </c>
      <c r="I45" s="61">
        <v>57591300</v>
      </c>
      <c r="J45" s="61"/>
      <c r="K45" s="61"/>
      <c r="L45" s="61">
        <f t="shared" si="5"/>
        <v>0</v>
      </c>
      <c r="M45" s="63" t="e">
        <f t="shared" si="3"/>
        <v>#DIV/0!</v>
      </c>
      <c r="N45" s="61">
        <f t="shared" si="8"/>
        <v>-57591300</v>
      </c>
      <c r="O45" s="63">
        <f t="shared" si="0"/>
        <v>0</v>
      </c>
      <c r="P45" s="61">
        <f t="shared" si="9"/>
        <v>0</v>
      </c>
      <c r="Q45" s="67"/>
    </row>
    <row r="46" spans="1:17" ht="57" customHeight="1" hidden="1" outlineLevel="5">
      <c r="A46" s="64" t="s">
        <v>70</v>
      </c>
      <c r="B46" s="65"/>
      <c r="C46" s="59" t="s">
        <v>69</v>
      </c>
      <c r="D46" s="60" t="s">
        <v>70</v>
      </c>
      <c r="E46" s="61"/>
      <c r="F46" s="61"/>
      <c r="G46" s="62">
        <f t="shared" si="6"/>
        <v>0</v>
      </c>
      <c r="H46" s="63" t="e">
        <f t="shared" si="7"/>
        <v>#DIV/0!</v>
      </c>
      <c r="I46" s="61">
        <v>0</v>
      </c>
      <c r="J46" s="61"/>
      <c r="K46" s="61"/>
      <c r="L46" s="61">
        <f t="shared" si="5"/>
        <v>0</v>
      </c>
      <c r="M46" s="63" t="e">
        <f t="shared" si="3"/>
        <v>#DIV/0!</v>
      </c>
      <c r="N46" s="61">
        <f t="shared" si="8"/>
        <v>0</v>
      </c>
      <c r="O46" s="63" t="e">
        <f t="shared" si="0"/>
        <v>#DIV/0!</v>
      </c>
      <c r="P46" s="61">
        <f t="shared" si="9"/>
        <v>0</v>
      </c>
      <c r="Q46" s="67"/>
    </row>
    <row r="47" spans="1:17" ht="57" customHeight="1" hidden="1" outlineLevel="5">
      <c r="A47" s="64" t="s">
        <v>71</v>
      </c>
      <c r="B47" s="65"/>
      <c r="C47" s="59" t="s">
        <v>69</v>
      </c>
      <c r="D47" s="60" t="s">
        <v>71</v>
      </c>
      <c r="E47" s="61"/>
      <c r="F47" s="61"/>
      <c r="G47" s="62">
        <f t="shared" si="6"/>
        <v>0</v>
      </c>
      <c r="H47" s="63" t="e">
        <f t="shared" si="7"/>
        <v>#DIV/0!</v>
      </c>
      <c r="I47" s="61">
        <v>0</v>
      </c>
      <c r="J47" s="61"/>
      <c r="K47" s="61"/>
      <c r="L47" s="61">
        <f t="shared" si="5"/>
        <v>0</v>
      </c>
      <c r="M47" s="63" t="e">
        <f t="shared" si="3"/>
        <v>#DIV/0!</v>
      </c>
      <c r="N47" s="61">
        <f t="shared" si="8"/>
        <v>0</v>
      </c>
      <c r="O47" s="63" t="e">
        <f t="shared" si="0"/>
        <v>#DIV/0!</v>
      </c>
      <c r="P47" s="61">
        <f t="shared" si="9"/>
        <v>0</v>
      </c>
      <c r="Q47" s="67"/>
    </row>
    <row r="48" spans="1:17" ht="57" customHeight="1" hidden="1" outlineLevel="5">
      <c r="A48" s="64" t="s">
        <v>72</v>
      </c>
      <c r="B48" s="65"/>
      <c r="C48" s="59" t="s">
        <v>69</v>
      </c>
      <c r="D48" s="60" t="s">
        <v>72</v>
      </c>
      <c r="E48" s="61"/>
      <c r="F48" s="61"/>
      <c r="G48" s="62">
        <f t="shared" si="6"/>
        <v>0</v>
      </c>
      <c r="H48" s="63" t="e">
        <f t="shared" si="7"/>
        <v>#DIV/0!</v>
      </c>
      <c r="I48" s="61">
        <v>0</v>
      </c>
      <c r="J48" s="61"/>
      <c r="K48" s="61"/>
      <c r="L48" s="61">
        <f t="shared" si="5"/>
        <v>0</v>
      </c>
      <c r="M48" s="63" t="e">
        <f t="shared" si="3"/>
        <v>#DIV/0!</v>
      </c>
      <c r="N48" s="61">
        <f t="shared" si="8"/>
        <v>0</v>
      </c>
      <c r="O48" s="63" t="e">
        <f t="shared" si="0"/>
        <v>#DIV/0!</v>
      </c>
      <c r="P48" s="61">
        <f t="shared" si="9"/>
        <v>0</v>
      </c>
      <c r="Q48" s="67"/>
    </row>
    <row r="49" spans="1:17" ht="15" customHeight="1" hidden="1" outlineLevel="3">
      <c r="A49" s="64" t="s">
        <v>73</v>
      </c>
      <c r="B49" s="65"/>
      <c r="C49" s="59" t="s">
        <v>23</v>
      </c>
      <c r="D49" s="60" t="s">
        <v>73</v>
      </c>
      <c r="E49" s="61"/>
      <c r="F49" s="61"/>
      <c r="G49" s="62">
        <f t="shared" si="6"/>
        <v>0</v>
      </c>
      <c r="H49" s="63" t="e">
        <f t="shared" si="7"/>
        <v>#DIV/0!</v>
      </c>
      <c r="I49" s="61">
        <v>0</v>
      </c>
      <c r="J49" s="61"/>
      <c r="K49" s="61"/>
      <c r="L49" s="61">
        <f t="shared" si="5"/>
        <v>0</v>
      </c>
      <c r="M49" s="63" t="e">
        <f t="shared" si="3"/>
        <v>#DIV/0!</v>
      </c>
      <c r="N49" s="61">
        <f t="shared" si="8"/>
        <v>0</v>
      </c>
      <c r="O49" s="63" t="e">
        <f t="shared" si="0"/>
        <v>#DIV/0!</v>
      </c>
      <c r="P49" s="61">
        <f t="shared" si="9"/>
        <v>0</v>
      </c>
      <c r="Q49" s="67"/>
    </row>
    <row r="50" spans="1:17" ht="99.75" customHeight="1" hidden="1" outlineLevel="4">
      <c r="A50" s="64" t="s">
        <v>74</v>
      </c>
      <c r="B50" s="65"/>
      <c r="C50" s="59" t="s">
        <v>75</v>
      </c>
      <c r="D50" s="60" t="s">
        <v>74</v>
      </c>
      <c r="E50" s="61"/>
      <c r="F50" s="61"/>
      <c r="G50" s="62">
        <f t="shared" si="6"/>
        <v>0</v>
      </c>
      <c r="H50" s="63" t="e">
        <f t="shared" si="7"/>
        <v>#DIV/0!</v>
      </c>
      <c r="I50" s="61">
        <v>0</v>
      </c>
      <c r="J50" s="61"/>
      <c r="K50" s="61"/>
      <c r="L50" s="61">
        <f t="shared" si="5"/>
        <v>0</v>
      </c>
      <c r="M50" s="63" t="e">
        <f t="shared" si="3"/>
        <v>#DIV/0!</v>
      </c>
      <c r="N50" s="61">
        <f t="shared" si="8"/>
        <v>0</v>
      </c>
      <c r="O50" s="63" t="e">
        <f t="shared" si="0"/>
        <v>#DIV/0!</v>
      </c>
      <c r="P50" s="61">
        <f t="shared" si="9"/>
        <v>0</v>
      </c>
      <c r="Q50" s="67"/>
    </row>
    <row r="51" spans="1:17" ht="99.75" customHeight="1" hidden="1" outlineLevel="5">
      <c r="A51" s="64" t="s">
        <v>76</v>
      </c>
      <c r="B51" s="65"/>
      <c r="C51" s="59" t="s">
        <v>77</v>
      </c>
      <c r="D51" s="60" t="s">
        <v>76</v>
      </c>
      <c r="E51" s="61"/>
      <c r="F51" s="61"/>
      <c r="G51" s="62">
        <f t="shared" si="6"/>
        <v>0</v>
      </c>
      <c r="H51" s="63" t="e">
        <f t="shared" si="7"/>
        <v>#DIV/0!</v>
      </c>
      <c r="I51" s="61">
        <v>0</v>
      </c>
      <c r="J51" s="61"/>
      <c r="K51" s="61"/>
      <c r="L51" s="61">
        <f t="shared" si="5"/>
        <v>0</v>
      </c>
      <c r="M51" s="63" t="e">
        <f t="shared" si="3"/>
        <v>#DIV/0!</v>
      </c>
      <c r="N51" s="61">
        <f t="shared" si="8"/>
        <v>0</v>
      </c>
      <c r="O51" s="63" t="e">
        <f t="shared" si="0"/>
        <v>#DIV/0!</v>
      </c>
      <c r="P51" s="61">
        <f t="shared" si="9"/>
        <v>0</v>
      </c>
      <c r="Q51" s="67"/>
    </row>
    <row r="52" spans="1:17" ht="18.75" customHeight="1" outlineLevel="2" collapsed="1">
      <c r="A52" s="64" t="s">
        <v>78</v>
      </c>
      <c r="B52" s="65" t="s">
        <v>79</v>
      </c>
      <c r="C52" s="59" t="s">
        <v>80</v>
      </c>
      <c r="D52" s="60" t="s">
        <v>78</v>
      </c>
      <c r="E52" s="62">
        <v>63052.38</v>
      </c>
      <c r="F52" s="62"/>
      <c r="G52" s="62">
        <f t="shared" si="6"/>
        <v>-63052.38</v>
      </c>
      <c r="H52" s="63">
        <f t="shared" si="7"/>
        <v>0</v>
      </c>
      <c r="I52" s="61">
        <v>63000</v>
      </c>
      <c r="J52" s="61"/>
      <c r="K52" s="62"/>
      <c r="L52" s="61">
        <f t="shared" si="5"/>
        <v>0</v>
      </c>
      <c r="M52" s="63">
        <f t="shared" si="3"/>
        <v>-0.9991692621277738</v>
      </c>
      <c r="N52" s="61">
        <f t="shared" si="8"/>
        <v>-63000</v>
      </c>
      <c r="O52" s="63">
        <f t="shared" si="0"/>
        <v>0</v>
      </c>
      <c r="P52" s="61">
        <f t="shared" si="9"/>
        <v>0</v>
      </c>
      <c r="Q52" s="67"/>
    </row>
    <row r="53" spans="1:17" ht="15" customHeight="1" hidden="1" outlineLevel="3">
      <c r="A53" s="64" t="s">
        <v>81</v>
      </c>
      <c r="B53" s="65"/>
      <c r="C53" s="59" t="s">
        <v>23</v>
      </c>
      <c r="D53" s="60" t="s">
        <v>81</v>
      </c>
      <c r="E53" s="61"/>
      <c r="F53" s="61"/>
      <c r="G53" s="62">
        <f t="shared" si="6"/>
        <v>0</v>
      </c>
      <c r="H53" s="63" t="e">
        <f t="shared" si="7"/>
        <v>#DIV/0!</v>
      </c>
      <c r="I53" s="61"/>
      <c r="J53" s="61"/>
      <c r="K53" s="61"/>
      <c r="L53" s="61">
        <f t="shared" si="5"/>
        <v>0</v>
      </c>
      <c r="M53" s="63" t="e">
        <f t="shared" si="3"/>
        <v>#DIV/0!</v>
      </c>
      <c r="N53" s="61">
        <f t="shared" si="8"/>
        <v>0</v>
      </c>
      <c r="O53" s="63" t="e">
        <f t="shared" si="0"/>
        <v>#DIV/0!</v>
      </c>
      <c r="P53" s="61">
        <f t="shared" si="9"/>
        <v>0</v>
      </c>
      <c r="Q53" s="68"/>
    </row>
    <row r="54" spans="1:17" ht="42.75" customHeight="1" hidden="1" outlineLevel="4">
      <c r="A54" s="64" t="s">
        <v>82</v>
      </c>
      <c r="B54" s="65"/>
      <c r="C54" s="59" t="s">
        <v>83</v>
      </c>
      <c r="D54" s="60" t="s">
        <v>82</v>
      </c>
      <c r="E54" s="61"/>
      <c r="F54" s="61"/>
      <c r="G54" s="62">
        <f t="shared" si="6"/>
        <v>0</v>
      </c>
      <c r="H54" s="63" t="e">
        <f t="shared" si="7"/>
        <v>#DIV/0!</v>
      </c>
      <c r="I54" s="61"/>
      <c r="J54" s="61"/>
      <c r="K54" s="61"/>
      <c r="L54" s="61">
        <f t="shared" si="5"/>
        <v>0</v>
      </c>
      <c r="M54" s="63" t="e">
        <f t="shared" si="3"/>
        <v>#DIV/0!</v>
      </c>
      <c r="N54" s="61">
        <f t="shared" si="8"/>
        <v>0</v>
      </c>
      <c r="O54" s="63" t="e">
        <f t="shared" si="0"/>
        <v>#DIV/0!</v>
      </c>
      <c r="P54" s="61">
        <f t="shared" si="9"/>
        <v>0</v>
      </c>
      <c r="Q54" s="68"/>
    </row>
    <row r="55" spans="1:17" ht="42.75" customHeight="1" hidden="1" outlineLevel="5">
      <c r="A55" s="64" t="s">
        <v>82</v>
      </c>
      <c r="B55" s="65"/>
      <c r="C55" s="59" t="s">
        <v>84</v>
      </c>
      <c r="D55" s="60" t="s">
        <v>82</v>
      </c>
      <c r="E55" s="61"/>
      <c r="F55" s="61"/>
      <c r="G55" s="62">
        <f t="shared" si="6"/>
        <v>0</v>
      </c>
      <c r="H55" s="63" t="e">
        <f t="shared" si="7"/>
        <v>#DIV/0!</v>
      </c>
      <c r="I55" s="61"/>
      <c r="J55" s="61"/>
      <c r="K55" s="61"/>
      <c r="L55" s="61">
        <f t="shared" si="5"/>
        <v>0</v>
      </c>
      <c r="M55" s="63" t="e">
        <f t="shared" si="3"/>
        <v>#DIV/0!</v>
      </c>
      <c r="N55" s="61">
        <f t="shared" si="8"/>
        <v>0</v>
      </c>
      <c r="O55" s="63" t="e">
        <f t="shared" si="0"/>
        <v>#DIV/0!</v>
      </c>
      <c r="P55" s="61">
        <f t="shared" si="9"/>
        <v>0</v>
      </c>
      <c r="Q55" s="68"/>
    </row>
    <row r="56" spans="1:17" ht="72" customHeight="1" outlineLevel="2" collapsed="1">
      <c r="A56" s="64" t="s">
        <v>85</v>
      </c>
      <c r="B56" s="65" t="s">
        <v>86</v>
      </c>
      <c r="C56" s="59" t="s">
        <v>87</v>
      </c>
      <c r="D56" s="60" t="s">
        <v>85</v>
      </c>
      <c r="E56" s="61">
        <v>12541592.9</v>
      </c>
      <c r="F56" s="61">
        <v>242482.69</v>
      </c>
      <c r="G56" s="62">
        <f t="shared" si="6"/>
        <v>-12299110.21</v>
      </c>
      <c r="H56" s="63">
        <f t="shared" si="7"/>
        <v>0.019334281692399695</v>
      </c>
      <c r="I56" s="61">
        <v>12500000</v>
      </c>
      <c r="J56" s="61">
        <v>562898</v>
      </c>
      <c r="K56" s="61">
        <v>-1191816.75</v>
      </c>
      <c r="L56" s="61">
        <f t="shared" si="5"/>
        <v>-1754714.75</v>
      </c>
      <c r="M56" s="63">
        <f t="shared" si="3"/>
        <v>-1.0163336848414175</v>
      </c>
      <c r="N56" s="61">
        <f t="shared" si="8"/>
        <v>-13691816.75</v>
      </c>
      <c r="O56" s="63">
        <f t="shared" si="0"/>
        <v>-0.09534534</v>
      </c>
      <c r="P56" s="61">
        <f t="shared" si="9"/>
        <v>-1434299.44</v>
      </c>
      <c r="Q56" s="66"/>
    </row>
    <row r="57" spans="1:17" ht="15" customHeight="1" hidden="1" outlineLevel="3">
      <c r="A57" s="64" t="s">
        <v>88</v>
      </c>
      <c r="B57" s="65"/>
      <c r="C57" s="59" t="s">
        <v>23</v>
      </c>
      <c r="D57" s="60" t="s">
        <v>88</v>
      </c>
      <c r="E57" s="61">
        <v>401120</v>
      </c>
      <c r="F57" s="61">
        <v>401120</v>
      </c>
      <c r="G57" s="62"/>
      <c r="H57" s="63" t="e">
        <f>E57/#REF!</f>
        <v>#REF!</v>
      </c>
      <c r="I57" s="61">
        <v>8300000</v>
      </c>
      <c r="J57" s="61"/>
      <c r="K57" s="61">
        <v>401120</v>
      </c>
      <c r="L57" s="61"/>
      <c r="M57" s="63" t="e">
        <f t="shared" si="3"/>
        <v>#DIV/0!</v>
      </c>
      <c r="N57" s="61"/>
      <c r="O57" s="63">
        <f t="shared" si="0"/>
        <v>0.04832771084337349</v>
      </c>
      <c r="P57" s="61" t="e">
        <f>E57-#REF!</f>
        <v>#REF!</v>
      </c>
      <c r="Q57" s="68"/>
    </row>
    <row r="58" spans="1:17" ht="85.5" customHeight="1" hidden="1" outlineLevel="4">
      <c r="A58" s="64" t="s">
        <v>89</v>
      </c>
      <c r="B58" s="65"/>
      <c r="C58" s="59" t="s">
        <v>90</v>
      </c>
      <c r="D58" s="60" t="s">
        <v>89</v>
      </c>
      <c r="E58" s="61">
        <v>0</v>
      </c>
      <c r="F58" s="61">
        <v>401120</v>
      </c>
      <c r="G58" s="62"/>
      <c r="H58" s="63" t="e">
        <f>E58/#REF!</f>
        <v>#REF!</v>
      </c>
      <c r="I58" s="61">
        <v>8300000</v>
      </c>
      <c r="J58" s="61"/>
      <c r="K58" s="61">
        <v>401120</v>
      </c>
      <c r="L58" s="61"/>
      <c r="M58" s="63" t="e">
        <f t="shared" si="3"/>
        <v>#DIV/0!</v>
      </c>
      <c r="N58" s="61"/>
      <c r="O58" s="63">
        <f t="shared" si="0"/>
        <v>0.04832771084337349</v>
      </c>
      <c r="P58" s="61" t="e">
        <f>E58-#REF!</f>
        <v>#REF!</v>
      </c>
      <c r="Q58" s="68"/>
    </row>
    <row r="59" spans="1:17" ht="99.75" customHeight="1" hidden="1" outlineLevel="5">
      <c r="A59" s="64" t="s">
        <v>89</v>
      </c>
      <c r="B59" s="65"/>
      <c r="C59" s="59" t="s">
        <v>91</v>
      </c>
      <c r="D59" s="60" t="s">
        <v>89</v>
      </c>
      <c r="E59" s="61">
        <v>401106.8</v>
      </c>
      <c r="F59" s="61">
        <v>0</v>
      </c>
      <c r="G59" s="62"/>
      <c r="H59" s="63" t="e">
        <f>E59/#REF!</f>
        <v>#REF!</v>
      </c>
      <c r="I59" s="61">
        <v>8300000</v>
      </c>
      <c r="J59" s="61"/>
      <c r="K59" s="61">
        <v>0</v>
      </c>
      <c r="L59" s="61"/>
      <c r="M59" s="63" t="e">
        <f t="shared" si="3"/>
        <v>#DIV/0!</v>
      </c>
      <c r="N59" s="61"/>
      <c r="O59" s="63">
        <f t="shared" si="0"/>
        <v>0</v>
      </c>
      <c r="P59" s="61" t="e">
        <f>E59-#REF!</f>
        <v>#REF!</v>
      </c>
      <c r="Q59" s="68"/>
    </row>
    <row r="60" spans="1:17" ht="99.75" customHeight="1" hidden="1" outlineLevel="5">
      <c r="A60" s="64" t="s">
        <v>92</v>
      </c>
      <c r="B60" s="65"/>
      <c r="C60" s="59" t="s">
        <v>91</v>
      </c>
      <c r="D60" s="60" t="s">
        <v>92</v>
      </c>
      <c r="E60" s="61">
        <v>13.2</v>
      </c>
      <c r="F60" s="61">
        <v>401106.8</v>
      </c>
      <c r="G60" s="62"/>
      <c r="H60" s="63" t="e">
        <f>E60/#REF!</f>
        <v>#REF!</v>
      </c>
      <c r="I60" s="61">
        <v>0</v>
      </c>
      <c r="J60" s="61"/>
      <c r="K60" s="61">
        <v>401106.8</v>
      </c>
      <c r="L60" s="61"/>
      <c r="M60" s="63" t="e">
        <f t="shared" si="3"/>
        <v>#DIV/0!</v>
      </c>
      <c r="N60" s="61"/>
      <c r="O60" s="63" t="e">
        <f t="shared" si="0"/>
        <v>#DIV/0!</v>
      </c>
      <c r="P60" s="61" t="e">
        <f>E60-#REF!</f>
        <v>#REF!</v>
      </c>
      <c r="Q60" s="68"/>
    </row>
    <row r="61" spans="1:17" ht="99.75" customHeight="1" hidden="1" outlineLevel="5">
      <c r="A61" s="64" t="s">
        <v>93</v>
      </c>
      <c r="B61" s="65"/>
      <c r="C61" s="59" t="s">
        <v>91</v>
      </c>
      <c r="D61" s="60" t="s">
        <v>93</v>
      </c>
      <c r="E61" s="51">
        <f>E62+E63+E64</f>
        <v>172244710.82</v>
      </c>
      <c r="F61" s="61">
        <v>13.2</v>
      </c>
      <c r="G61" s="62"/>
      <c r="H61" s="63" t="e">
        <f>E61/#REF!</f>
        <v>#REF!</v>
      </c>
      <c r="I61" s="61">
        <v>0</v>
      </c>
      <c r="J61" s="61"/>
      <c r="K61" s="61">
        <v>13.2</v>
      </c>
      <c r="L61" s="61"/>
      <c r="M61" s="63" t="e">
        <f t="shared" si="3"/>
        <v>#DIV/0!</v>
      </c>
      <c r="N61" s="61"/>
      <c r="O61" s="63" t="e">
        <f t="shared" si="0"/>
        <v>#DIV/0!</v>
      </c>
      <c r="P61" s="61" t="e">
        <f>E61-#REF!</f>
        <v>#REF!</v>
      </c>
      <c r="Q61" s="68"/>
    </row>
    <row r="62" spans="1:17" s="32" customFormat="1" ht="22.5" customHeight="1" outlineLevel="1" collapsed="1">
      <c r="A62" s="24" t="s">
        <v>94</v>
      </c>
      <c r="B62" s="48" t="s">
        <v>95</v>
      </c>
      <c r="C62" s="49" t="s">
        <v>96</v>
      </c>
      <c r="D62" s="50" t="s">
        <v>94</v>
      </c>
      <c r="E62" s="51">
        <f>E63+E64+E65</f>
        <v>95317580.9</v>
      </c>
      <c r="F62" s="51">
        <f>F63+F64+F65</f>
        <v>1458421.8</v>
      </c>
      <c r="G62" s="58">
        <f>F62-E62</f>
        <v>-93859159.10000001</v>
      </c>
      <c r="H62" s="54">
        <f aca="true" t="shared" si="10" ref="H62:H72">F62/E62</f>
        <v>0.015300658978431962</v>
      </c>
      <c r="I62" s="51">
        <f>I63+I64+I65</f>
        <v>91400000</v>
      </c>
      <c r="J62" s="51">
        <f>J63+J64+J65</f>
        <v>3543302</v>
      </c>
      <c r="K62" s="51">
        <f>K63+K64+K65</f>
        <v>1368018.57</v>
      </c>
      <c r="L62" s="51">
        <f>K62-J62</f>
        <v>-2175283.4299999997</v>
      </c>
      <c r="M62" s="54">
        <f t="shared" si="3"/>
        <v>-0.9737994765393119</v>
      </c>
      <c r="N62" s="51">
        <f>N63+N64+N65</f>
        <v>-90031981.43</v>
      </c>
      <c r="O62" s="54">
        <f t="shared" si="0"/>
        <v>0.014967380415754924</v>
      </c>
      <c r="P62" s="51">
        <f aca="true" t="shared" si="11" ref="P62:P72">K62-F62</f>
        <v>-90403.22999999998</v>
      </c>
      <c r="Q62" s="56"/>
    </row>
    <row r="63" spans="1:17" ht="28.5" outlineLevel="2">
      <c r="A63" s="64" t="s">
        <v>97</v>
      </c>
      <c r="B63" s="65" t="s">
        <v>98</v>
      </c>
      <c r="C63" s="59" t="s">
        <v>99</v>
      </c>
      <c r="D63" s="60" t="s">
        <v>97</v>
      </c>
      <c r="E63" s="61">
        <v>14947482.35</v>
      </c>
      <c r="F63" s="61">
        <v>306758.96</v>
      </c>
      <c r="G63" s="62">
        <f>F63-E63</f>
        <v>-14640723.389999999</v>
      </c>
      <c r="H63" s="63">
        <f t="shared" si="10"/>
        <v>0.020522450056614384</v>
      </c>
      <c r="I63" s="61">
        <v>11900000</v>
      </c>
      <c r="J63" s="61">
        <v>80000</v>
      </c>
      <c r="K63" s="61">
        <v>973807.41</v>
      </c>
      <c r="L63" s="61">
        <f>K63-J63</f>
        <v>893807.41</v>
      </c>
      <c r="M63" s="63">
        <f t="shared" si="3"/>
        <v>-0.8128013680067212</v>
      </c>
      <c r="N63" s="61">
        <f>K63-I63</f>
        <v>-10926192.59</v>
      </c>
      <c r="O63" s="63">
        <f t="shared" si="0"/>
        <v>0.08183255546218487</v>
      </c>
      <c r="P63" s="61">
        <f t="shared" si="11"/>
        <v>667048.45</v>
      </c>
      <c r="Q63" s="66"/>
    </row>
    <row r="64" spans="1:17" ht="42" customHeight="1" outlineLevel="4">
      <c r="A64" s="64" t="s">
        <v>100</v>
      </c>
      <c r="B64" s="65" t="s">
        <v>101</v>
      </c>
      <c r="C64" s="59" t="s">
        <v>102</v>
      </c>
      <c r="D64" s="60" t="s">
        <v>100</v>
      </c>
      <c r="E64" s="61">
        <v>61979647.57</v>
      </c>
      <c r="F64" s="61">
        <v>720177.89</v>
      </c>
      <c r="G64" s="62">
        <f>F64-E64</f>
        <v>-61259469.68</v>
      </c>
      <c r="H64" s="63">
        <f t="shared" si="10"/>
        <v>0.011619586722990462</v>
      </c>
      <c r="I64" s="61">
        <v>62500000</v>
      </c>
      <c r="J64" s="61">
        <v>3011857</v>
      </c>
      <c r="K64" s="61">
        <v>0</v>
      </c>
      <c r="L64" s="61">
        <f>K64-J64</f>
        <v>-3011857</v>
      </c>
      <c r="M64" s="63">
        <f t="shared" si="3"/>
        <v>-1.0202504253869669</v>
      </c>
      <c r="N64" s="61">
        <f>K64-I64</f>
        <v>-62500000</v>
      </c>
      <c r="O64" s="63">
        <f t="shared" si="0"/>
        <v>0</v>
      </c>
      <c r="P64" s="61">
        <f t="shared" si="11"/>
        <v>-720177.89</v>
      </c>
      <c r="Q64" s="66"/>
    </row>
    <row r="65" spans="1:17" ht="56.25" customHeight="1" outlineLevel="4">
      <c r="A65" s="64" t="s">
        <v>103</v>
      </c>
      <c r="B65" s="65" t="s">
        <v>104</v>
      </c>
      <c r="C65" s="59" t="s">
        <v>105</v>
      </c>
      <c r="D65" s="60" t="s">
        <v>103</v>
      </c>
      <c r="E65" s="61">
        <v>18390450.98</v>
      </c>
      <c r="F65" s="61">
        <v>431484.95</v>
      </c>
      <c r="G65" s="62">
        <f>F65-E65</f>
        <v>-17958966.03</v>
      </c>
      <c r="H65" s="63">
        <f t="shared" si="10"/>
        <v>0.02346244529126822</v>
      </c>
      <c r="I65" s="61">
        <v>17000000</v>
      </c>
      <c r="J65" s="61">
        <v>451445</v>
      </c>
      <c r="K65" s="61">
        <v>394211.16</v>
      </c>
      <c r="L65" s="61">
        <f>K65-J65</f>
        <v>-57233.840000000026</v>
      </c>
      <c r="M65" s="63">
        <f t="shared" si="3"/>
        <v>-0.9466023807607814</v>
      </c>
      <c r="N65" s="61">
        <f>K65-I65</f>
        <v>-16605788.84</v>
      </c>
      <c r="O65" s="63">
        <f t="shared" si="0"/>
        <v>0.02318889176470588</v>
      </c>
      <c r="P65" s="61">
        <f t="shared" si="11"/>
        <v>-37273.79000000004</v>
      </c>
      <c r="Q65" s="66"/>
    </row>
    <row r="66" spans="1:17" s="32" customFormat="1" ht="32.25" customHeight="1" outlineLevel="1">
      <c r="A66" s="24" t="s">
        <v>106</v>
      </c>
      <c r="B66" s="48" t="s">
        <v>107</v>
      </c>
      <c r="C66" s="49" t="s">
        <v>108</v>
      </c>
      <c r="D66" s="50" t="s">
        <v>106</v>
      </c>
      <c r="E66" s="51">
        <f>E67+E72</f>
        <v>10536108.33</v>
      </c>
      <c r="F66" s="51">
        <f>F67+F72</f>
        <v>599225.53</v>
      </c>
      <c r="G66" s="58">
        <f>G67+G72</f>
        <v>-9936882.8</v>
      </c>
      <c r="H66" s="54">
        <f t="shared" si="10"/>
        <v>0.05687351640964003</v>
      </c>
      <c r="I66" s="51">
        <f>I67+I72</f>
        <v>11535000</v>
      </c>
      <c r="J66" s="51">
        <f>J67+J72</f>
        <v>605206</v>
      </c>
      <c r="K66" s="51">
        <f>K67+K72</f>
        <v>683419.88</v>
      </c>
      <c r="L66" s="51">
        <f>K66-J66</f>
        <v>78213.88</v>
      </c>
      <c r="M66" s="54">
        <f t="shared" si="3"/>
        <v>-1.1608268138173068</v>
      </c>
      <c r="N66" s="51">
        <f>N67+N72</f>
        <v>-10851580.12</v>
      </c>
      <c r="O66" s="54">
        <f t="shared" si="0"/>
        <v>0.05924749718248808</v>
      </c>
      <c r="P66" s="51">
        <f t="shared" si="11"/>
        <v>84194.34999999998</v>
      </c>
      <c r="Q66" s="56"/>
    </row>
    <row r="67" spans="1:17" ht="91.5" customHeight="1" outlineLevel="2">
      <c r="A67" s="64" t="s">
        <v>109</v>
      </c>
      <c r="B67" s="65" t="s">
        <v>110</v>
      </c>
      <c r="C67" s="59" t="s">
        <v>111</v>
      </c>
      <c r="D67" s="60" t="s">
        <v>109</v>
      </c>
      <c r="E67" s="61">
        <v>10431108.33</v>
      </c>
      <c r="F67" s="61">
        <v>599225.53</v>
      </c>
      <c r="G67" s="62">
        <f aca="true" t="shared" si="12" ref="G67:G72">F67-E67</f>
        <v>-9831882.8</v>
      </c>
      <c r="H67" s="63">
        <f t="shared" si="10"/>
        <v>0.05744600775323364</v>
      </c>
      <c r="I67" s="61">
        <v>11500000</v>
      </c>
      <c r="J67" s="61">
        <v>605206</v>
      </c>
      <c r="K67" s="61">
        <v>683419.88</v>
      </c>
      <c r="L67" s="61">
        <f>K67-J67</f>
        <v>78213.88</v>
      </c>
      <c r="M67" s="63">
        <f t="shared" si="3"/>
        <v>-1.1696640647506498</v>
      </c>
      <c r="N67" s="61">
        <f aca="true" t="shared" si="13" ref="N67:N72">K67-I67</f>
        <v>-10816580.12</v>
      </c>
      <c r="O67" s="63">
        <f t="shared" si="0"/>
        <v>0.059427815652173914</v>
      </c>
      <c r="P67" s="61">
        <f t="shared" si="11"/>
        <v>84194.34999999998</v>
      </c>
      <c r="Q67" s="67"/>
    </row>
    <row r="68" spans="1:17" ht="15" customHeight="1" hidden="1" outlineLevel="3">
      <c r="A68" s="64" t="s">
        <v>112</v>
      </c>
      <c r="B68" s="65"/>
      <c r="C68" s="59" t="s">
        <v>23</v>
      </c>
      <c r="D68" s="60" t="s">
        <v>112</v>
      </c>
      <c r="E68" s="61"/>
      <c r="F68" s="61"/>
      <c r="G68" s="62">
        <f t="shared" si="12"/>
        <v>0</v>
      </c>
      <c r="H68" s="63" t="e">
        <f t="shared" si="10"/>
        <v>#DIV/0!</v>
      </c>
      <c r="I68" s="61"/>
      <c r="J68" s="61"/>
      <c r="K68" s="61"/>
      <c r="L68" s="61">
        <f>I68-G68</f>
        <v>0</v>
      </c>
      <c r="M68" s="63" t="e">
        <f t="shared" si="3"/>
        <v>#DIV/0!</v>
      </c>
      <c r="N68" s="61">
        <f t="shared" si="13"/>
        <v>0</v>
      </c>
      <c r="O68" s="63" t="e">
        <f t="shared" si="0"/>
        <v>#DIV/0!</v>
      </c>
      <c r="P68" s="61">
        <f t="shared" si="11"/>
        <v>0</v>
      </c>
      <c r="Q68" s="68"/>
    </row>
    <row r="69" spans="1:17" ht="114" customHeight="1" hidden="1" outlineLevel="4">
      <c r="A69" s="64" t="s">
        <v>113</v>
      </c>
      <c r="B69" s="65"/>
      <c r="C69" s="59" t="s">
        <v>114</v>
      </c>
      <c r="D69" s="60" t="s">
        <v>113</v>
      </c>
      <c r="E69" s="61"/>
      <c r="F69" s="61"/>
      <c r="G69" s="62">
        <f t="shared" si="12"/>
        <v>0</v>
      </c>
      <c r="H69" s="63" t="e">
        <f t="shared" si="10"/>
        <v>#DIV/0!</v>
      </c>
      <c r="I69" s="61"/>
      <c r="J69" s="61"/>
      <c r="K69" s="61"/>
      <c r="L69" s="61">
        <f>I69-G69</f>
        <v>0</v>
      </c>
      <c r="M69" s="63" t="e">
        <f t="shared" si="3"/>
        <v>#DIV/0!</v>
      </c>
      <c r="N69" s="61">
        <f t="shared" si="13"/>
        <v>0</v>
      </c>
      <c r="O69" s="63" t="e">
        <f t="shared" si="0"/>
        <v>#DIV/0!</v>
      </c>
      <c r="P69" s="61">
        <f t="shared" si="11"/>
        <v>0</v>
      </c>
      <c r="Q69" s="68"/>
    </row>
    <row r="70" spans="1:17" ht="128.25" customHeight="1" hidden="1" outlineLevel="5">
      <c r="A70" s="64" t="s">
        <v>113</v>
      </c>
      <c r="B70" s="65"/>
      <c r="C70" s="59" t="s">
        <v>115</v>
      </c>
      <c r="D70" s="60" t="s">
        <v>113</v>
      </c>
      <c r="E70" s="61"/>
      <c r="F70" s="61"/>
      <c r="G70" s="62">
        <f t="shared" si="12"/>
        <v>0</v>
      </c>
      <c r="H70" s="63" t="e">
        <f t="shared" si="10"/>
        <v>#DIV/0!</v>
      </c>
      <c r="I70" s="61"/>
      <c r="J70" s="61"/>
      <c r="K70" s="61"/>
      <c r="L70" s="61">
        <f>I70-G70</f>
        <v>0</v>
      </c>
      <c r="M70" s="63" t="e">
        <f t="shared" si="3"/>
        <v>#DIV/0!</v>
      </c>
      <c r="N70" s="61">
        <f t="shared" si="13"/>
        <v>0</v>
      </c>
      <c r="O70" s="63" t="e">
        <f t="shared" si="0"/>
        <v>#DIV/0!</v>
      </c>
      <c r="P70" s="61">
        <f t="shared" si="11"/>
        <v>0</v>
      </c>
      <c r="Q70" s="68"/>
    </row>
    <row r="71" spans="1:17" ht="171" customHeight="1" hidden="1" outlineLevel="5">
      <c r="A71" s="64" t="s">
        <v>116</v>
      </c>
      <c r="B71" s="65"/>
      <c r="C71" s="59" t="s">
        <v>117</v>
      </c>
      <c r="D71" s="60" t="s">
        <v>116</v>
      </c>
      <c r="E71" s="61"/>
      <c r="F71" s="61"/>
      <c r="G71" s="62">
        <f t="shared" si="12"/>
        <v>0</v>
      </c>
      <c r="H71" s="63" t="e">
        <f t="shared" si="10"/>
        <v>#DIV/0!</v>
      </c>
      <c r="I71" s="61"/>
      <c r="J71" s="61"/>
      <c r="K71" s="61"/>
      <c r="L71" s="61">
        <f>I71-G71</f>
        <v>0</v>
      </c>
      <c r="M71" s="63" t="e">
        <f t="shared" si="3"/>
        <v>#DIV/0!</v>
      </c>
      <c r="N71" s="61">
        <f t="shared" si="13"/>
        <v>0</v>
      </c>
      <c r="O71" s="63" t="e">
        <f t="shared" si="0"/>
        <v>#DIV/0!</v>
      </c>
      <c r="P71" s="61">
        <f t="shared" si="11"/>
        <v>0</v>
      </c>
      <c r="Q71" s="68"/>
    </row>
    <row r="72" spans="1:17" ht="78.75" customHeight="1" outlineLevel="2" collapsed="1">
      <c r="A72" s="64" t="s">
        <v>118</v>
      </c>
      <c r="B72" s="65" t="s">
        <v>119</v>
      </c>
      <c r="C72" s="59" t="s">
        <v>120</v>
      </c>
      <c r="D72" s="60" t="s">
        <v>118</v>
      </c>
      <c r="E72" s="62">
        <v>105000</v>
      </c>
      <c r="F72" s="62"/>
      <c r="G72" s="62">
        <f t="shared" si="12"/>
        <v>-105000</v>
      </c>
      <c r="H72" s="63">
        <f t="shared" si="10"/>
        <v>0</v>
      </c>
      <c r="I72" s="61">
        <v>35000</v>
      </c>
      <c r="J72" s="61"/>
      <c r="K72" s="62"/>
      <c r="L72" s="61">
        <f>K72-J72</f>
        <v>0</v>
      </c>
      <c r="M72" s="63">
        <f t="shared" si="3"/>
        <v>-0.3333333333333333</v>
      </c>
      <c r="N72" s="61">
        <f t="shared" si="13"/>
        <v>-35000</v>
      </c>
      <c r="O72" s="63">
        <f t="shared" si="0"/>
        <v>0</v>
      </c>
      <c r="P72" s="61">
        <f t="shared" si="11"/>
        <v>0</v>
      </c>
      <c r="Q72" s="66"/>
    </row>
    <row r="73" spans="1:17" ht="15" customHeight="1" hidden="1" outlineLevel="3">
      <c r="A73" s="64" t="s">
        <v>121</v>
      </c>
      <c r="B73" s="65"/>
      <c r="C73" s="59" t="s">
        <v>23</v>
      </c>
      <c r="D73" s="60" t="s">
        <v>121</v>
      </c>
      <c r="E73" s="61">
        <v>0</v>
      </c>
      <c r="F73" s="61">
        <v>0</v>
      </c>
      <c r="G73" s="62"/>
      <c r="H73" s="63" t="e">
        <f>E73/#REF!</f>
        <v>#REF!</v>
      </c>
      <c r="I73" s="61">
        <v>60000</v>
      </c>
      <c r="J73" s="61"/>
      <c r="K73" s="61">
        <v>0</v>
      </c>
      <c r="L73" s="61"/>
      <c r="M73" s="63" t="e">
        <f t="shared" si="3"/>
        <v>#DIV/0!</v>
      </c>
      <c r="N73" s="61"/>
      <c r="O73" s="63">
        <f t="shared" si="0"/>
        <v>0</v>
      </c>
      <c r="P73" s="61" t="e">
        <f>E73-#REF!</f>
        <v>#REF!</v>
      </c>
      <c r="Q73" s="68"/>
    </row>
    <row r="74" spans="1:17" ht="57" customHeight="1" hidden="1" outlineLevel="4">
      <c r="A74" s="64" t="s">
        <v>122</v>
      </c>
      <c r="B74" s="65"/>
      <c r="C74" s="59" t="s">
        <v>123</v>
      </c>
      <c r="D74" s="60" t="s">
        <v>122</v>
      </c>
      <c r="E74" s="61">
        <v>0</v>
      </c>
      <c r="F74" s="61">
        <v>0</v>
      </c>
      <c r="G74" s="62"/>
      <c r="H74" s="63" t="e">
        <f>E74/#REF!</f>
        <v>#REF!</v>
      </c>
      <c r="I74" s="61">
        <v>60000</v>
      </c>
      <c r="J74" s="61"/>
      <c r="K74" s="61">
        <v>0</v>
      </c>
      <c r="L74" s="61"/>
      <c r="M74" s="63" t="e">
        <f t="shared" si="3"/>
        <v>#DIV/0!</v>
      </c>
      <c r="N74" s="61"/>
      <c r="O74" s="63">
        <f t="shared" si="0"/>
        <v>0</v>
      </c>
      <c r="P74" s="61" t="e">
        <f>E74-#REF!</f>
        <v>#REF!</v>
      </c>
      <c r="Q74" s="68"/>
    </row>
    <row r="75" spans="1:17" ht="71.25" customHeight="1" hidden="1" outlineLevel="5">
      <c r="A75" s="64" t="s">
        <v>122</v>
      </c>
      <c r="B75" s="65"/>
      <c r="C75" s="59" t="s">
        <v>124</v>
      </c>
      <c r="D75" s="60" t="s">
        <v>122</v>
      </c>
      <c r="E75" s="51">
        <v>-23389.69</v>
      </c>
      <c r="F75" s="61">
        <v>0</v>
      </c>
      <c r="G75" s="62"/>
      <c r="H75" s="63" t="e">
        <f>E75/#REF!</f>
        <v>#REF!</v>
      </c>
      <c r="I75" s="61">
        <v>60000</v>
      </c>
      <c r="J75" s="61"/>
      <c r="K75" s="61">
        <v>0</v>
      </c>
      <c r="L75" s="61"/>
      <c r="M75" s="63" t="e">
        <f t="shared" si="3"/>
        <v>#DIV/0!</v>
      </c>
      <c r="N75" s="61"/>
      <c r="O75" s="63">
        <f t="shared" si="0"/>
        <v>0</v>
      </c>
      <c r="P75" s="61" t="e">
        <f>E75-#REF!</f>
        <v>#REF!</v>
      </c>
      <c r="Q75" s="68"/>
    </row>
    <row r="76" spans="1:17" s="32" customFormat="1" ht="83.25" customHeight="1" outlineLevel="1" collapsed="1">
      <c r="A76" s="24" t="s">
        <v>125</v>
      </c>
      <c r="B76" s="48" t="s">
        <v>126</v>
      </c>
      <c r="C76" s="49" t="s">
        <v>127</v>
      </c>
      <c r="D76" s="50" t="s">
        <v>125</v>
      </c>
      <c r="E76" s="51">
        <v>-23389.69</v>
      </c>
      <c r="F76" s="51">
        <v>3022</v>
      </c>
      <c r="G76" s="58">
        <f>F76-E76</f>
        <v>26411.69</v>
      </c>
      <c r="H76" s="54">
        <f>F76/E76</f>
        <v>-0.12920222542496287</v>
      </c>
      <c r="I76" s="51"/>
      <c r="J76" s="51"/>
      <c r="K76" s="51">
        <v>-101835.88</v>
      </c>
      <c r="L76" s="51">
        <f>K76-J76</f>
        <v>-101835.88</v>
      </c>
      <c r="M76" s="54"/>
      <c r="N76" s="51"/>
      <c r="O76" s="54"/>
      <c r="P76" s="51">
        <f>K76-F76</f>
        <v>-104857.88</v>
      </c>
      <c r="Q76" s="56"/>
    </row>
    <row r="77" spans="1:17" s="32" customFormat="1" ht="15.75" customHeight="1" hidden="1" outlineLevel="3">
      <c r="A77" s="24" t="s">
        <v>128</v>
      </c>
      <c r="B77" s="48"/>
      <c r="C77" s="49" t="s">
        <v>23</v>
      </c>
      <c r="D77" s="50" t="s">
        <v>128</v>
      </c>
      <c r="E77" s="51">
        <v>78.92</v>
      </c>
      <c r="F77" s="51">
        <v>78.92</v>
      </c>
      <c r="G77" s="58"/>
      <c r="H77" s="54" t="e">
        <f>E77/#REF!</f>
        <v>#REF!</v>
      </c>
      <c r="I77" s="51">
        <v>0</v>
      </c>
      <c r="J77" s="51"/>
      <c r="K77" s="51">
        <v>78.92</v>
      </c>
      <c r="L77" s="51"/>
      <c r="M77" s="54" t="e">
        <f>I77/G77</f>
        <v>#DIV/0!</v>
      </c>
      <c r="N77" s="51"/>
      <c r="O77" s="54" t="e">
        <f t="shared" si="0"/>
        <v>#DIV/0!</v>
      </c>
      <c r="P77" s="51" t="e">
        <f>E77-#REF!</f>
        <v>#REF!</v>
      </c>
      <c r="Q77" s="69"/>
    </row>
    <row r="78" spans="1:17" s="32" customFormat="1" ht="180" customHeight="1" hidden="1" outlineLevel="4">
      <c r="A78" s="24" t="s">
        <v>129</v>
      </c>
      <c r="B78" s="48"/>
      <c r="C78" s="49" t="s">
        <v>130</v>
      </c>
      <c r="D78" s="50" t="s">
        <v>129</v>
      </c>
      <c r="E78" s="51">
        <v>78.92</v>
      </c>
      <c r="F78" s="51">
        <v>78.92</v>
      </c>
      <c r="G78" s="58"/>
      <c r="H78" s="54" t="e">
        <f>E78/#REF!</f>
        <v>#REF!</v>
      </c>
      <c r="I78" s="51">
        <v>0</v>
      </c>
      <c r="J78" s="51"/>
      <c r="K78" s="51">
        <v>78.92</v>
      </c>
      <c r="L78" s="51"/>
      <c r="M78" s="54" t="e">
        <f>I78/G78</f>
        <v>#DIV/0!</v>
      </c>
      <c r="N78" s="51"/>
      <c r="O78" s="54" t="e">
        <f t="shared" si="0"/>
        <v>#DIV/0!</v>
      </c>
      <c r="P78" s="51" t="e">
        <f>E78-#REF!</f>
        <v>#REF!</v>
      </c>
      <c r="Q78" s="69"/>
    </row>
    <row r="79" spans="1:17" s="32" customFormat="1" ht="180" customHeight="1" hidden="1" outlineLevel="5">
      <c r="A79" s="24" t="s">
        <v>131</v>
      </c>
      <c r="B79" s="48"/>
      <c r="C79" s="49" t="s">
        <v>132</v>
      </c>
      <c r="D79" s="50" t="s">
        <v>131</v>
      </c>
      <c r="E79" s="72">
        <f>E80+E89+E105+E108+E111+E112</f>
        <v>106887173.90000002</v>
      </c>
      <c r="F79" s="51">
        <v>78.92</v>
      </c>
      <c r="G79" s="58"/>
      <c r="H79" s="54" t="e">
        <f>E79/#REF!</f>
        <v>#REF!</v>
      </c>
      <c r="I79" s="51">
        <v>0</v>
      </c>
      <c r="J79" s="51"/>
      <c r="K79" s="51">
        <v>78.92</v>
      </c>
      <c r="L79" s="51"/>
      <c r="M79" s="54" t="e">
        <f>I79/G79</f>
        <v>#DIV/0!</v>
      </c>
      <c r="N79" s="51"/>
      <c r="O79" s="54" t="e">
        <f>K79/I79</f>
        <v>#DIV/0!</v>
      </c>
      <c r="P79" s="51" t="e">
        <f>E79-#REF!</f>
        <v>#REF!</v>
      </c>
      <c r="Q79" s="69"/>
    </row>
    <row r="80" spans="1:17" s="32" customFormat="1" ht="39" customHeight="1" outlineLevel="5">
      <c r="A80" s="24"/>
      <c r="B80" s="48" t="s">
        <v>133</v>
      </c>
      <c r="C80" s="70" t="s">
        <v>134</v>
      </c>
      <c r="D80" s="71"/>
      <c r="E80" s="72">
        <f>E81+E90+E106+E109+E112+E113</f>
        <v>73494552.89</v>
      </c>
      <c r="F80" s="72">
        <f>F81+F90+F106+F109+F112+F113</f>
        <v>2802876.6</v>
      </c>
      <c r="G80" s="72">
        <f>G81+G90+G106+G109+G112+G113</f>
        <v>-69041492.01</v>
      </c>
      <c r="H80" s="72">
        <f>F80/E80</f>
        <v>0.038137201871206595</v>
      </c>
      <c r="I80" s="72">
        <f>I81+I90+I106+I109+I112+I113</f>
        <v>60969508.61</v>
      </c>
      <c r="J80" s="72">
        <f>J81+J90+J106+J109+J112+J113</f>
        <v>2230316.48</v>
      </c>
      <c r="K80" s="72">
        <f>K81+K90+K106+K109+K112+K113</f>
        <v>4950197.0200000005</v>
      </c>
      <c r="L80" s="72">
        <f>K80-J80</f>
        <v>2719880.5400000005</v>
      </c>
      <c r="M80" s="72" t="e">
        <f>M81+M90+M106+M109+M112+M113</f>
        <v>#DIV/0!</v>
      </c>
      <c r="N80" s="72">
        <f>N81+N90+N106+N109+N112+N113</f>
        <v>-56019311.59</v>
      </c>
      <c r="O80" s="72">
        <f>O81+O90+O106+O109+O112+O113</f>
        <v>1.229778337767621</v>
      </c>
      <c r="P80" s="72">
        <f>K80-F80</f>
        <v>2147320.4200000004</v>
      </c>
      <c r="Q80" s="56"/>
    </row>
    <row r="81" spans="1:17" s="32" customFormat="1" ht="72" customHeight="1" outlineLevel="1">
      <c r="A81" s="24" t="s">
        <v>135</v>
      </c>
      <c r="B81" s="48" t="s">
        <v>136</v>
      </c>
      <c r="C81" s="49" t="s">
        <v>137</v>
      </c>
      <c r="D81" s="50" t="s">
        <v>135</v>
      </c>
      <c r="E81" s="51">
        <f>E82+E83+E84+E85+E89</f>
        <v>37416244.75</v>
      </c>
      <c r="F81" s="51">
        <f>F82+F83+F84+F85+F89</f>
        <v>918044.1099999999</v>
      </c>
      <c r="G81" s="58">
        <f>G82+G83+G85+G89</f>
        <v>-36439720.36</v>
      </c>
      <c r="H81" s="54">
        <f>F81/E81</f>
        <v>0.024535976716369964</v>
      </c>
      <c r="I81" s="51">
        <f>I82+I83+I84+I85+I89</f>
        <v>26290475.19</v>
      </c>
      <c r="J81" s="51">
        <f>J82+J83+J84+J85+J89</f>
        <v>859800</v>
      </c>
      <c r="K81" s="51">
        <f>K82+K83+K84+K85+K89</f>
        <v>1934842.44</v>
      </c>
      <c r="L81" s="51">
        <f>K81-J81</f>
        <v>1075042.44</v>
      </c>
      <c r="M81" s="54">
        <f>I81/G81</f>
        <v>-0.7214785110936016</v>
      </c>
      <c r="N81" s="51">
        <f>N82+N83+N84+N85+N89</f>
        <v>-24355632.75</v>
      </c>
      <c r="O81" s="54">
        <f aca="true" t="shared" si="14" ref="O81:O127">K81/I81</f>
        <v>0.07359480671296302</v>
      </c>
      <c r="P81" s="51">
        <f>K81-F81</f>
        <v>1016798.3300000001</v>
      </c>
      <c r="Q81" s="56"/>
    </row>
    <row r="82" spans="1:17" ht="66.75" customHeight="1" outlineLevel="4">
      <c r="A82" s="64" t="s">
        <v>138</v>
      </c>
      <c r="B82" s="65" t="s">
        <v>139</v>
      </c>
      <c r="C82" s="59" t="s">
        <v>140</v>
      </c>
      <c r="D82" s="60" t="s">
        <v>138</v>
      </c>
      <c r="E82" s="61">
        <v>24363527.29</v>
      </c>
      <c r="F82" s="61">
        <v>282279.55</v>
      </c>
      <c r="G82" s="62">
        <f>F82-E82</f>
        <v>-24081247.74</v>
      </c>
      <c r="H82" s="63">
        <f>F82/E82</f>
        <v>0.011586152802917889</v>
      </c>
      <c r="I82" s="61">
        <v>15000000</v>
      </c>
      <c r="J82" s="61">
        <v>350000</v>
      </c>
      <c r="K82" s="61">
        <v>1533325.01</v>
      </c>
      <c r="L82" s="61">
        <f>K82-J82</f>
        <v>1183325.01</v>
      </c>
      <c r="M82" s="63">
        <f>I82/G82</f>
        <v>-0.6228913120263427</v>
      </c>
      <c r="N82" s="61">
        <f>K82-I82</f>
        <v>-13466674.99</v>
      </c>
      <c r="O82" s="63">
        <f t="shared" si="14"/>
        <v>0.10222166733333334</v>
      </c>
      <c r="P82" s="61">
        <f>K82-F82</f>
        <v>1251045.46</v>
      </c>
      <c r="Q82" s="66"/>
    </row>
    <row r="83" spans="1:17" ht="61.5" customHeight="1" outlineLevel="4">
      <c r="A83" s="64" t="s">
        <v>141</v>
      </c>
      <c r="B83" s="65" t="s">
        <v>142</v>
      </c>
      <c r="C83" s="59" t="s">
        <v>143</v>
      </c>
      <c r="D83" s="60" t="s">
        <v>141</v>
      </c>
      <c r="E83" s="61">
        <v>977974.72</v>
      </c>
      <c r="F83" s="61">
        <v>87261.12</v>
      </c>
      <c r="G83" s="62">
        <f aca="true" t="shared" si="15" ref="G83:G89">F83-E83</f>
        <v>-890713.6</v>
      </c>
      <c r="H83" s="63">
        <f aca="true" t="shared" si="16" ref="H83:H89">F83/E83</f>
        <v>0.08922635546243976</v>
      </c>
      <c r="I83" s="61">
        <v>987235.05</v>
      </c>
      <c r="J83" s="61">
        <v>109800</v>
      </c>
      <c r="K83" s="61">
        <v>114721.19</v>
      </c>
      <c r="L83" s="61">
        <f aca="true" t="shared" si="17" ref="L83:L89">K83-J83</f>
        <v>4921.190000000002</v>
      </c>
      <c r="M83" s="63">
        <f>I83/G83</f>
        <v>-1.1083641812587122</v>
      </c>
      <c r="N83" s="61">
        <f aca="true" t="shared" si="18" ref="N83:N89">K83-I83</f>
        <v>-872513.8600000001</v>
      </c>
      <c r="O83" s="63">
        <f t="shared" si="14"/>
        <v>0.11620453508007034</v>
      </c>
      <c r="P83" s="61">
        <f aca="true" t="shared" si="19" ref="P83:P89">K83-F83</f>
        <v>27460.070000000007</v>
      </c>
      <c r="Q83" s="66"/>
    </row>
    <row r="84" spans="1:17" ht="108" customHeight="1" outlineLevel="4">
      <c r="A84" s="64"/>
      <c r="B84" s="65" t="s">
        <v>144</v>
      </c>
      <c r="C84" s="59" t="s">
        <v>145</v>
      </c>
      <c r="D84" s="60" t="s">
        <v>146</v>
      </c>
      <c r="E84" s="61">
        <v>58480.28</v>
      </c>
      <c r="F84" s="61"/>
      <c r="G84" s="62">
        <f t="shared" si="15"/>
        <v>-58480.28</v>
      </c>
      <c r="H84" s="63">
        <f t="shared" si="16"/>
        <v>0</v>
      </c>
      <c r="I84" s="61">
        <v>29240.14</v>
      </c>
      <c r="J84" s="61"/>
      <c r="K84" s="61"/>
      <c r="L84" s="61">
        <f t="shared" si="17"/>
        <v>0</v>
      </c>
      <c r="M84" s="63"/>
      <c r="N84" s="61">
        <f t="shared" si="18"/>
        <v>-29240.14</v>
      </c>
      <c r="O84" s="63"/>
      <c r="P84" s="61"/>
      <c r="Q84" s="73" t="s">
        <v>147</v>
      </c>
    </row>
    <row r="85" spans="1:17" ht="38.25" customHeight="1" outlineLevel="2">
      <c r="A85" s="64" t="s">
        <v>148</v>
      </c>
      <c r="B85" s="65" t="s">
        <v>149</v>
      </c>
      <c r="C85" s="59" t="s">
        <v>150</v>
      </c>
      <c r="D85" s="60" t="s">
        <v>148</v>
      </c>
      <c r="E85" s="62">
        <v>5843542.64</v>
      </c>
      <c r="F85" s="62"/>
      <c r="G85" s="62">
        <f t="shared" si="15"/>
        <v>-5843542.64</v>
      </c>
      <c r="H85" s="63">
        <f t="shared" si="16"/>
        <v>0</v>
      </c>
      <c r="I85" s="61">
        <v>4966000</v>
      </c>
      <c r="J85" s="61"/>
      <c r="K85" s="62"/>
      <c r="L85" s="61">
        <f t="shared" si="17"/>
        <v>0</v>
      </c>
      <c r="M85" s="63">
        <f aca="true" t="shared" si="20" ref="M85:M112">I85/G85</f>
        <v>-0.8498269467577634</v>
      </c>
      <c r="N85" s="61">
        <f t="shared" si="18"/>
        <v>-4966000</v>
      </c>
      <c r="O85" s="63">
        <f t="shared" si="14"/>
        <v>0</v>
      </c>
      <c r="P85" s="61">
        <f t="shared" si="19"/>
        <v>0</v>
      </c>
      <c r="Q85" s="66" t="s">
        <v>257</v>
      </c>
    </row>
    <row r="86" spans="1:17" ht="15" customHeight="1" hidden="1" outlineLevel="3">
      <c r="A86" s="64" t="s">
        <v>151</v>
      </c>
      <c r="B86" s="65"/>
      <c r="C86" s="59" t="s">
        <v>23</v>
      </c>
      <c r="D86" s="60" t="s">
        <v>151</v>
      </c>
      <c r="E86" s="61"/>
      <c r="F86" s="61"/>
      <c r="G86" s="62">
        <f t="shared" si="15"/>
        <v>0</v>
      </c>
      <c r="H86" s="63" t="e">
        <f t="shared" si="16"/>
        <v>#DIV/0!</v>
      </c>
      <c r="I86" s="61"/>
      <c r="J86" s="61"/>
      <c r="K86" s="61"/>
      <c r="L86" s="61">
        <f t="shared" si="17"/>
        <v>0</v>
      </c>
      <c r="M86" s="63" t="e">
        <f t="shared" si="20"/>
        <v>#DIV/0!</v>
      </c>
      <c r="N86" s="61">
        <f t="shared" si="18"/>
        <v>0</v>
      </c>
      <c r="O86" s="63" t="e">
        <f t="shared" si="14"/>
        <v>#DIV/0!</v>
      </c>
      <c r="P86" s="61">
        <f t="shared" si="19"/>
        <v>0</v>
      </c>
      <c r="Q86" s="68"/>
    </row>
    <row r="87" spans="1:17" ht="128.25" customHeight="1" hidden="1" outlineLevel="4">
      <c r="A87" s="64" t="s">
        <v>152</v>
      </c>
      <c r="B87" s="65"/>
      <c r="C87" s="59" t="s">
        <v>153</v>
      </c>
      <c r="D87" s="60" t="s">
        <v>152</v>
      </c>
      <c r="E87" s="61"/>
      <c r="F87" s="61"/>
      <c r="G87" s="62">
        <f t="shared" si="15"/>
        <v>0</v>
      </c>
      <c r="H87" s="63" t="e">
        <f t="shared" si="16"/>
        <v>#DIV/0!</v>
      </c>
      <c r="I87" s="61"/>
      <c r="J87" s="61"/>
      <c r="K87" s="61"/>
      <c r="L87" s="61">
        <f t="shared" si="17"/>
        <v>0</v>
      </c>
      <c r="M87" s="63" t="e">
        <f t="shared" si="20"/>
        <v>#DIV/0!</v>
      </c>
      <c r="N87" s="61">
        <f t="shared" si="18"/>
        <v>0</v>
      </c>
      <c r="O87" s="63" t="e">
        <f t="shared" si="14"/>
        <v>#DIV/0!</v>
      </c>
      <c r="P87" s="61">
        <f t="shared" si="19"/>
        <v>0</v>
      </c>
      <c r="Q87" s="68"/>
    </row>
    <row r="88" spans="1:17" ht="128.25" customHeight="1" hidden="1" outlineLevel="5">
      <c r="A88" s="64" t="s">
        <v>152</v>
      </c>
      <c r="B88" s="65"/>
      <c r="C88" s="59" t="s">
        <v>154</v>
      </c>
      <c r="D88" s="60" t="s">
        <v>152</v>
      </c>
      <c r="E88" s="61"/>
      <c r="F88" s="61"/>
      <c r="G88" s="62">
        <f t="shared" si="15"/>
        <v>0</v>
      </c>
      <c r="H88" s="63" t="e">
        <f t="shared" si="16"/>
        <v>#DIV/0!</v>
      </c>
      <c r="I88" s="61"/>
      <c r="J88" s="61"/>
      <c r="K88" s="61"/>
      <c r="L88" s="61">
        <f t="shared" si="17"/>
        <v>0</v>
      </c>
      <c r="M88" s="63" t="e">
        <f t="shared" si="20"/>
        <v>#DIV/0!</v>
      </c>
      <c r="N88" s="61">
        <f t="shared" si="18"/>
        <v>0</v>
      </c>
      <c r="O88" s="63" t="e">
        <f t="shared" si="14"/>
        <v>#DIV/0!</v>
      </c>
      <c r="P88" s="61">
        <f t="shared" si="19"/>
        <v>0</v>
      </c>
      <c r="Q88" s="68"/>
    </row>
    <row r="89" spans="1:17" ht="69.75" customHeight="1" outlineLevel="2" collapsed="1">
      <c r="A89" s="64" t="s">
        <v>155</v>
      </c>
      <c r="B89" s="65" t="s">
        <v>156</v>
      </c>
      <c r="C89" s="59" t="s">
        <v>157</v>
      </c>
      <c r="D89" s="60" t="s">
        <v>155</v>
      </c>
      <c r="E89" s="61">
        <v>6172719.82</v>
      </c>
      <c r="F89" s="61">
        <v>548503.44</v>
      </c>
      <c r="G89" s="62">
        <f t="shared" si="15"/>
        <v>-5624216.380000001</v>
      </c>
      <c r="H89" s="63">
        <f t="shared" si="16"/>
        <v>0.08885928018680102</v>
      </c>
      <c r="I89" s="61">
        <v>5308000</v>
      </c>
      <c r="J89" s="61">
        <v>400000</v>
      </c>
      <c r="K89" s="61">
        <v>286796.24</v>
      </c>
      <c r="L89" s="61">
        <f t="shared" si="17"/>
        <v>-113203.76000000001</v>
      </c>
      <c r="M89" s="63">
        <f t="shared" si="20"/>
        <v>-0.943775922077877</v>
      </c>
      <c r="N89" s="61">
        <f t="shared" si="18"/>
        <v>-5021203.76</v>
      </c>
      <c r="O89" s="63">
        <f t="shared" si="14"/>
        <v>0.05403094197437829</v>
      </c>
      <c r="P89" s="61">
        <f t="shared" si="19"/>
        <v>-261707.19999999995</v>
      </c>
      <c r="Q89" s="66"/>
    </row>
    <row r="90" spans="1:17" s="32" customFormat="1" ht="98.25" customHeight="1" outlineLevel="1">
      <c r="A90" s="24" t="s">
        <v>158</v>
      </c>
      <c r="B90" s="48" t="s">
        <v>159</v>
      </c>
      <c r="C90" s="49" t="s">
        <v>160</v>
      </c>
      <c r="D90" s="50" t="s">
        <v>158</v>
      </c>
      <c r="E90" s="51">
        <v>485335.25</v>
      </c>
      <c r="F90" s="51">
        <v>1067.26</v>
      </c>
      <c r="G90" s="58">
        <f>F90-E90</f>
        <v>-484267.99</v>
      </c>
      <c r="H90" s="54">
        <f>F90/E90</f>
        <v>0.0021990160409737394</v>
      </c>
      <c r="I90" s="51">
        <v>231800</v>
      </c>
      <c r="J90" s="51">
        <v>0</v>
      </c>
      <c r="K90" s="51">
        <v>11112.99</v>
      </c>
      <c r="L90" s="51">
        <f>K90-J90</f>
        <v>11112.99</v>
      </c>
      <c r="M90" s="54">
        <f t="shared" si="20"/>
        <v>-0.4786605862592735</v>
      </c>
      <c r="N90" s="51">
        <f>K90-I90</f>
        <v>-220687.01</v>
      </c>
      <c r="O90" s="54">
        <f t="shared" si="14"/>
        <v>0.047942148403796375</v>
      </c>
      <c r="P90" s="51">
        <f>K90-F90</f>
        <v>10045.73</v>
      </c>
      <c r="Q90" s="74"/>
    </row>
    <row r="91" spans="1:17" s="32" customFormat="1" ht="15.75" customHeight="1" hidden="1" outlineLevel="3">
      <c r="A91" s="24" t="s">
        <v>161</v>
      </c>
      <c r="B91" s="48"/>
      <c r="C91" s="49" t="s">
        <v>23</v>
      </c>
      <c r="D91" s="50" t="s">
        <v>161</v>
      </c>
      <c r="E91" s="51">
        <v>2890.68</v>
      </c>
      <c r="F91" s="51">
        <v>2890.68</v>
      </c>
      <c r="G91" s="58"/>
      <c r="H91" s="54">
        <f aca="true" t="shared" si="21" ref="H91:H130">F91/E91</f>
        <v>1</v>
      </c>
      <c r="I91" s="51">
        <v>33800</v>
      </c>
      <c r="J91" s="51"/>
      <c r="K91" s="51">
        <v>2890.68</v>
      </c>
      <c r="L91" s="51">
        <f aca="true" t="shared" si="22" ref="L91:L120">K91-J91</f>
        <v>2890.68</v>
      </c>
      <c r="M91" s="54" t="e">
        <f t="shared" si="20"/>
        <v>#DIV/0!</v>
      </c>
      <c r="N91" s="51">
        <f aca="true" t="shared" si="23" ref="N91:N106">K91-I91</f>
        <v>-30909.32</v>
      </c>
      <c r="O91" s="54">
        <f t="shared" si="14"/>
        <v>0.08552307692307692</v>
      </c>
      <c r="P91" s="51">
        <f aca="true" t="shared" si="24" ref="P91:P130">K91-F91</f>
        <v>0</v>
      </c>
      <c r="Q91" s="69"/>
    </row>
    <row r="92" spans="1:17" s="32" customFormat="1" ht="90" customHeight="1" hidden="1" outlineLevel="4">
      <c r="A92" s="24" t="s">
        <v>162</v>
      </c>
      <c r="B92" s="48"/>
      <c r="C92" s="49" t="s">
        <v>163</v>
      </c>
      <c r="D92" s="50" t="s">
        <v>162</v>
      </c>
      <c r="E92" s="51">
        <v>0</v>
      </c>
      <c r="F92" s="51">
        <v>2890.68</v>
      </c>
      <c r="G92" s="58"/>
      <c r="H92" s="54" t="e">
        <f t="shared" si="21"/>
        <v>#DIV/0!</v>
      </c>
      <c r="I92" s="51">
        <v>33800</v>
      </c>
      <c r="J92" s="51"/>
      <c r="K92" s="51">
        <v>2890.68</v>
      </c>
      <c r="L92" s="51">
        <f t="shared" si="22"/>
        <v>2890.68</v>
      </c>
      <c r="M92" s="54" t="e">
        <f t="shared" si="20"/>
        <v>#DIV/0!</v>
      </c>
      <c r="N92" s="51">
        <f t="shared" si="23"/>
        <v>-30909.32</v>
      </c>
      <c r="O92" s="54">
        <f t="shared" si="14"/>
        <v>0.08552307692307692</v>
      </c>
      <c r="P92" s="51">
        <f t="shared" si="24"/>
        <v>0</v>
      </c>
      <c r="Q92" s="69"/>
    </row>
    <row r="93" spans="1:17" s="32" customFormat="1" ht="90" customHeight="1" hidden="1" outlineLevel="5">
      <c r="A93" s="24" t="s">
        <v>162</v>
      </c>
      <c r="B93" s="48"/>
      <c r="C93" s="49" t="s">
        <v>164</v>
      </c>
      <c r="D93" s="50" t="s">
        <v>162</v>
      </c>
      <c r="E93" s="51">
        <v>2890.68</v>
      </c>
      <c r="F93" s="51">
        <v>0</v>
      </c>
      <c r="G93" s="58"/>
      <c r="H93" s="54">
        <f t="shared" si="21"/>
        <v>0</v>
      </c>
      <c r="I93" s="51">
        <v>33800</v>
      </c>
      <c r="J93" s="51"/>
      <c r="K93" s="51">
        <v>0</v>
      </c>
      <c r="L93" s="51">
        <f t="shared" si="22"/>
        <v>0</v>
      </c>
      <c r="M93" s="54" t="e">
        <f t="shared" si="20"/>
        <v>#DIV/0!</v>
      </c>
      <c r="N93" s="51">
        <f t="shared" si="23"/>
        <v>-33800</v>
      </c>
      <c r="O93" s="54">
        <f t="shared" si="14"/>
        <v>0</v>
      </c>
      <c r="P93" s="51">
        <f t="shared" si="24"/>
        <v>0</v>
      </c>
      <c r="Q93" s="69"/>
    </row>
    <row r="94" spans="1:17" s="32" customFormat="1" ht="90" customHeight="1" hidden="1" outlineLevel="5">
      <c r="A94" s="24" t="s">
        <v>165</v>
      </c>
      <c r="B94" s="48"/>
      <c r="C94" s="49" t="s">
        <v>164</v>
      </c>
      <c r="D94" s="50" t="s">
        <v>165</v>
      </c>
      <c r="E94" s="51">
        <v>53.23</v>
      </c>
      <c r="F94" s="51">
        <v>2890.68</v>
      </c>
      <c r="G94" s="58"/>
      <c r="H94" s="54">
        <f t="shared" si="21"/>
        <v>54.30546684200639</v>
      </c>
      <c r="I94" s="51">
        <v>0</v>
      </c>
      <c r="J94" s="51"/>
      <c r="K94" s="51">
        <v>2890.68</v>
      </c>
      <c r="L94" s="51">
        <f t="shared" si="22"/>
        <v>2890.68</v>
      </c>
      <c r="M94" s="54" t="e">
        <f t="shared" si="20"/>
        <v>#DIV/0!</v>
      </c>
      <c r="N94" s="51">
        <f t="shared" si="23"/>
        <v>2890.68</v>
      </c>
      <c r="O94" s="54" t="e">
        <f t="shared" si="14"/>
        <v>#DIV/0!</v>
      </c>
      <c r="P94" s="51">
        <f t="shared" si="24"/>
        <v>0</v>
      </c>
      <c r="Q94" s="69"/>
    </row>
    <row r="95" spans="1:17" s="32" customFormat="1" ht="15.75" customHeight="1" hidden="1" outlineLevel="3">
      <c r="A95" s="24" t="s">
        <v>166</v>
      </c>
      <c r="B95" s="48"/>
      <c r="C95" s="49" t="s">
        <v>23</v>
      </c>
      <c r="D95" s="50" t="s">
        <v>166</v>
      </c>
      <c r="E95" s="51">
        <v>53.23</v>
      </c>
      <c r="F95" s="51">
        <v>53.23</v>
      </c>
      <c r="G95" s="58"/>
      <c r="H95" s="54">
        <f t="shared" si="21"/>
        <v>1</v>
      </c>
      <c r="I95" s="51">
        <v>0</v>
      </c>
      <c r="J95" s="51"/>
      <c r="K95" s="51">
        <v>53.23</v>
      </c>
      <c r="L95" s="51">
        <f t="shared" si="22"/>
        <v>53.23</v>
      </c>
      <c r="M95" s="54" t="e">
        <f t="shared" si="20"/>
        <v>#DIV/0!</v>
      </c>
      <c r="N95" s="51">
        <f t="shared" si="23"/>
        <v>53.23</v>
      </c>
      <c r="O95" s="54" t="e">
        <f t="shared" si="14"/>
        <v>#DIV/0!</v>
      </c>
      <c r="P95" s="51">
        <f t="shared" si="24"/>
        <v>0</v>
      </c>
      <c r="Q95" s="69"/>
    </row>
    <row r="96" spans="1:17" s="32" customFormat="1" ht="90" customHeight="1" hidden="1" outlineLevel="4">
      <c r="A96" s="24" t="s">
        <v>167</v>
      </c>
      <c r="B96" s="48"/>
      <c r="C96" s="49" t="s">
        <v>168</v>
      </c>
      <c r="D96" s="50" t="s">
        <v>167</v>
      </c>
      <c r="E96" s="51">
        <v>53.23</v>
      </c>
      <c r="F96" s="51">
        <v>53.23</v>
      </c>
      <c r="G96" s="58"/>
      <c r="H96" s="54">
        <f t="shared" si="21"/>
        <v>1</v>
      </c>
      <c r="I96" s="51">
        <v>0</v>
      </c>
      <c r="J96" s="51"/>
      <c r="K96" s="51">
        <v>53.23</v>
      </c>
      <c r="L96" s="51">
        <f t="shared" si="22"/>
        <v>53.23</v>
      </c>
      <c r="M96" s="54" t="e">
        <f t="shared" si="20"/>
        <v>#DIV/0!</v>
      </c>
      <c r="N96" s="51">
        <f t="shared" si="23"/>
        <v>53.23</v>
      </c>
      <c r="O96" s="54" t="e">
        <f t="shared" si="14"/>
        <v>#DIV/0!</v>
      </c>
      <c r="P96" s="51">
        <f t="shared" si="24"/>
        <v>0</v>
      </c>
      <c r="Q96" s="69"/>
    </row>
    <row r="97" spans="1:17" s="32" customFormat="1" ht="90" customHeight="1" hidden="1" outlineLevel="5">
      <c r="A97" s="24" t="s">
        <v>169</v>
      </c>
      <c r="B97" s="48"/>
      <c r="C97" s="49" t="s">
        <v>170</v>
      </c>
      <c r="D97" s="50" t="s">
        <v>169</v>
      </c>
      <c r="E97" s="51">
        <v>481.81</v>
      </c>
      <c r="F97" s="51">
        <v>53.23</v>
      </c>
      <c r="G97" s="58"/>
      <c r="H97" s="54">
        <f t="shared" si="21"/>
        <v>0.11047923455303957</v>
      </c>
      <c r="I97" s="51">
        <v>0</v>
      </c>
      <c r="J97" s="51"/>
      <c r="K97" s="51">
        <v>53.23</v>
      </c>
      <c r="L97" s="51">
        <f t="shared" si="22"/>
        <v>53.23</v>
      </c>
      <c r="M97" s="54" t="e">
        <f t="shared" si="20"/>
        <v>#DIV/0!</v>
      </c>
      <c r="N97" s="51">
        <f t="shared" si="23"/>
        <v>53.23</v>
      </c>
      <c r="O97" s="54" t="e">
        <f t="shared" si="14"/>
        <v>#DIV/0!</v>
      </c>
      <c r="P97" s="51">
        <f t="shared" si="24"/>
        <v>0</v>
      </c>
      <c r="Q97" s="69"/>
    </row>
    <row r="98" spans="1:17" s="32" customFormat="1" ht="15.75" customHeight="1" hidden="1" outlineLevel="3">
      <c r="A98" s="24" t="s">
        <v>171</v>
      </c>
      <c r="B98" s="48"/>
      <c r="C98" s="49" t="s">
        <v>23</v>
      </c>
      <c r="D98" s="50" t="s">
        <v>171</v>
      </c>
      <c r="E98" s="51">
        <v>481.81</v>
      </c>
      <c r="F98" s="51">
        <v>481.81</v>
      </c>
      <c r="G98" s="58"/>
      <c r="H98" s="54">
        <f t="shared" si="21"/>
        <v>1</v>
      </c>
      <c r="I98" s="51">
        <v>59400</v>
      </c>
      <c r="J98" s="51"/>
      <c r="K98" s="51">
        <v>481.81</v>
      </c>
      <c r="L98" s="51">
        <f t="shared" si="22"/>
        <v>481.81</v>
      </c>
      <c r="M98" s="54" t="e">
        <f t="shared" si="20"/>
        <v>#DIV/0!</v>
      </c>
      <c r="N98" s="51">
        <f t="shared" si="23"/>
        <v>-58918.19</v>
      </c>
      <c r="O98" s="54">
        <f t="shared" si="14"/>
        <v>0.008111279461279462</v>
      </c>
      <c r="P98" s="51">
        <f t="shared" si="24"/>
        <v>0</v>
      </c>
      <c r="Q98" s="69"/>
    </row>
    <row r="99" spans="1:17" s="32" customFormat="1" ht="45" customHeight="1" hidden="1" outlineLevel="4">
      <c r="A99" s="24" t="s">
        <v>172</v>
      </c>
      <c r="B99" s="48"/>
      <c r="C99" s="49" t="s">
        <v>173</v>
      </c>
      <c r="D99" s="50" t="s">
        <v>172</v>
      </c>
      <c r="E99" s="51">
        <v>0</v>
      </c>
      <c r="F99" s="51">
        <v>481.81</v>
      </c>
      <c r="G99" s="58"/>
      <c r="H99" s="54" t="e">
        <f t="shared" si="21"/>
        <v>#DIV/0!</v>
      </c>
      <c r="I99" s="51">
        <v>59400</v>
      </c>
      <c r="J99" s="51"/>
      <c r="K99" s="51">
        <v>481.81</v>
      </c>
      <c r="L99" s="51">
        <f t="shared" si="22"/>
        <v>481.81</v>
      </c>
      <c r="M99" s="54" t="e">
        <f t="shared" si="20"/>
        <v>#DIV/0!</v>
      </c>
      <c r="N99" s="51">
        <f t="shared" si="23"/>
        <v>-58918.19</v>
      </c>
      <c r="O99" s="54">
        <f t="shared" si="14"/>
        <v>0.008111279461279462</v>
      </c>
      <c r="P99" s="51">
        <f t="shared" si="24"/>
        <v>0</v>
      </c>
      <c r="Q99" s="69"/>
    </row>
    <row r="100" spans="1:17" s="32" customFormat="1" ht="60" customHeight="1" hidden="1" outlineLevel="5">
      <c r="A100" s="24" t="s">
        <v>172</v>
      </c>
      <c r="B100" s="48"/>
      <c r="C100" s="49" t="s">
        <v>174</v>
      </c>
      <c r="D100" s="50" t="s">
        <v>172</v>
      </c>
      <c r="E100" s="51">
        <v>481.81</v>
      </c>
      <c r="F100" s="51">
        <v>0</v>
      </c>
      <c r="G100" s="58"/>
      <c r="H100" s="54">
        <f t="shared" si="21"/>
        <v>0</v>
      </c>
      <c r="I100" s="51">
        <v>59400</v>
      </c>
      <c r="J100" s="51"/>
      <c r="K100" s="51">
        <v>0</v>
      </c>
      <c r="L100" s="51">
        <f t="shared" si="22"/>
        <v>0</v>
      </c>
      <c r="M100" s="54" t="e">
        <f t="shared" si="20"/>
        <v>#DIV/0!</v>
      </c>
      <c r="N100" s="51">
        <f t="shared" si="23"/>
        <v>-59400</v>
      </c>
      <c r="O100" s="54">
        <f t="shared" si="14"/>
        <v>0</v>
      </c>
      <c r="P100" s="51">
        <f t="shared" si="24"/>
        <v>0</v>
      </c>
      <c r="Q100" s="69"/>
    </row>
    <row r="101" spans="1:17" s="32" customFormat="1" ht="60" customHeight="1" hidden="1" outlineLevel="5">
      <c r="A101" s="24" t="s">
        <v>175</v>
      </c>
      <c r="B101" s="48"/>
      <c r="C101" s="49" t="s">
        <v>176</v>
      </c>
      <c r="D101" s="50" t="s">
        <v>175</v>
      </c>
      <c r="E101" s="51">
        <v>39261.54</v>
      </c>
      <c r="F101" s="51">
        <v>481.81</v>
      </c>
      <c r="G101" s="58"/>
      <c r="H101" s="54">
        <f t="shared" si="21"/>
        <v>0.01227180594546215</v>
      </c>
      <c r="I101" s="51">
        <v>0</v>
      </c>
      <c r="J101" s="51"/>
      <c r="K101" s="51">
        <v>481.81</v>
      </c>
      <c r="L101" s="51">
        <f t="shared" si="22"/>
        <v>481.81</v>
      </c>
      <c r="M101" s="54" t="e">
        <f t="shared" si="20"/>
        <v>#DIV/0!</v>
      </c>
      <c r="N101" s="51">
        <f t="shared" si="23"/>
        <v>481.81</v>
      </c>
      <c r="O101" s="54" t="e">
        <f t="shared" si="14"/>
        <v>#DIV/0!</v>
      </c>
      <c r="P101" s="51">
        <f t="shared" si="24"/>
        <v>0</v>
      </c>
      <c r="Q101" s="69"/>
    </row>
    <row r="102" spans="1:17" s="32" customFormat="1" ht="15.75" customHeight="1" hidden="1" outlineLevel="3">
      <c r="A102" s="24" t="s">
        <v>177</v>
      </c>
      <c r="B102" s="48"/>
      <c r="C102" s="49" t="s">
        <v>23</v>
      </c>
      <c r="D102" s="50" t="s">
        <v>177</v>
      </c>
      <c r="E102" s="51">
        <v>39261.54</v>
      </c>
      <c r="F102" s="51">
        <v>39261.54</v>
      </c>
      <c r="G102" s="58"/>
      <c r="H102" s="54">
        <f t="shared" si="21"/>
        <v>1</v>
      </c>
      <c r="I102" s="51">
        <v>464900</v>
      </c>
      <c r="J102" s="51"/>
      <c r="K102" s="51">
        <v>39261.54</v>
      </c>
      <c r="L102" s="51">
        <f t="shared" si="22"/>
        <v>39261.54</v>
      </c>
      <c r="M102" s="54" t="e">
        <f t="shared" si="20"/>
        <v>#DIV/0!</v>
      </c>
      <c r="N102" s="51">
        <f t="shared" si="23"/>
        <v>-425638.46</v>
      </c>
      <c r="O102" s="54">
        <f t="shared" si="14"/>
        <v>0.0844515809851581</v>
      </c>
      <c r="P102" s="51">
        <f t="shared" si="24"/>
        <v>0</v>
      </c>
      <c r="Q102" s="69"/>
    </row>
    <row r="103" spans="1:17" s="32" customFormat="1" ht="60" customHeight="1" hidden="1" outlineLevel="4">
      <c r="A103" s="24" t="s">
        <v>178</v>
      </c>
      <c r="B103" s="48"/>
      <c r="C103" s="49" t="s">
        <v>179</v>
      </c>
      <c r="D103" s="50" t="s">
        <v>178</v>
      </c>
      <c r="E103" s="51">
        <v>0</v>
      </c>
      <c r="F103" s="51">
        <v>39261.54</v>
      </c>
      <c r="G103" s="58"/>
      <c r="H103" s="54" t="e">
        <f t="shared" si="21"/>
        <v>#DIV/0!</v>
      </c>
      <c r="I103" s="51">
        <v>464900</v>
      </c>
      <c r="J103" s="51"/>
      <c r="K103" s="51">
        <v>39261.54</v>
      </c>
      <c r="L103" s="51">
        <f t="shared" si="22"/>
        <v>39261.54</v>
      </c>
      <c r="M103" s="54" t="e">
        <f t="shared" si="20"/>
        <v>#DIV/0!</v>
      </c>
      <c r="N103" s="51">
        <f t="shared" si="23"/>
        <v>-425638.46</v>
      </c>
      <c r="O103" s="54">
        <f t="shared" si="14"/>
        <v>0.0844515809851581</v>
      </c>
      <c r="P103" s="51">
        <f t="shared" si="24"/>
        <v>0</v>
      </c>
      <c r="Q103" s="69"/>
    </row>
    <row r="104" spans="1:17" s="32" customFormat="1" ht="60" customHeight="1" hidden="1" outlineLevel="5">
      <c r="A104" s="24" t="s">
        <v>178</v>
      </c>
      <c r="B104" s="48"/>
      <c r="C104" s="49" t="s">
        <v>180</v>
      </c>
      <c r="D104" s="50" t="s">
        <v>178</v>
      </c>
      <c r="E104" s="51">
        <v>39261.54</v>
      </c>
      <c r="F104" s="51">
        <v>0</v>
      </c>
      <c r="G104" s="58"/>
      <c r="H104" s="54">
        <f t="shared" si="21"/>
        <v>0</v>
      </c>
      <c r="I104" s="51">
        <v>464900</v>
      </c>
      <c r="J104" s="51"/>
      <c r="K104" s="51">
        <v>0</v>
      </c>
      <c r="L104" s="51">
        <f t="shared" si="22"/>
        <v>0</v>
      </c>
      <c r="M104" s="54" t="e">
        <f t="shared" si="20"/>
        <v>#DIV/0!</v>
      </c>
      <c r="N104" s="51">
        <f t="shared" si="23"/>
        <v>-464900</v>
      </c>
      <c r="O104" s="54">
        <f t="shared" si="14"/>
        <v>0</v>
      </c>
      <c r="P104" s="51">
        <f t="shared" si="24"/>
        <v>0</v>
      </c>
      <c r="Q104" s="69"/>
    </row>
    <row r="105" spans="1:17" s="32" customFormat="1" ht="60" customHeight="1" hidden="1" outlineLevel="5">
      <c r="A105" s="24" t="s">
        <v>181</v>
      </c>
      <c r="B105" s="48"/>
      <c r="C105" s="49" t="s">
        <v>182</v>
      </c>
      <c r="D105" s="50" t="s">
        <v>181</v>
      </c>
      <c r="E105" s="51">
        <f>E106+E107</f>
        <v>10003098.77</v>
      </c>
      <c r="F105" s="51">
        <v>39261.54</v>
      </c>
      <c r="G105" s="58"/>
      <c r="H105" s="54">
        <f t="shared" si="21"/>
        <v>0.003924937752064204</v>
      </c>
      <c r="I105" s="51">
        <v>0</v>
      </c>
      <c r="J105" s="51"/>
      <c r="K105" s="51">
        <v>39261.54</v>
      </c>
      <c r="L105" s="51">
        <f t="shared" si="22"/>
        <v>39261.54</v>
      </c>
      <c r="M105" s="54" t="e">
        <f t="shared" si="20"/>
        <v>#DIV/0!</v>
      </c>
      <c r="N105" s="51">
        <f t="shared" si="23"/>
        <v>39261.54</v>
      </c>
      <c r="O105" s="54" t="e">
        <f t="shared" si="14"/>
        <v>#DIV/0!</v>
      </c>
      <c r="P105" s="51">
        <f t="shared" si="24"/>
        <v>0</v>
      </c>
      <c r="Q105" s="69"/>
    </row>
    <row r="106" spans="1:17" s="32" customFormat="1" ht="78.75" customHeight="1" outlineLevel="1" collapsed="1">
      <c r="A106" s="24" t="s">
        <v>183</v>
      </c>
      <c r="B106" s="48" t="s">
        <v>184</v>
      </c>
      <c r="C106" s="49" t="s">
        <v>185</v>
      </c>
      <c r="D106" s="50" t="s">
        <v>183</v>
      </c>
      <c r="E106" s="51">
        <f>E107+E108</f>
        <v>6949209.46</v>
      </c>
      <c r="F106" s="51">
        <f>F107+F108</f>
        <v>307001.04</v>
      </c>
      <c r="G106" s="58">
        <f>G107+G108</f>
        <v>-6642208.42</v>
      </c>
      <c r="H106" s="54">
        <f t="shared" si="21"/>
        <v>0.044177836596682465</v>
      </c>
      <c r="I106" s="51">
        <f>I107+I108</f>
        <v>3385056.7</v>
      </c>
      <c r="J106" s="51">
        <f>J107+J108</f>
        <v>217229</v>
      </c>
      <c r="K106" s="51">
        <f>K107+K108</f>
        <v>151229.63</v>
      </c>
      <c r="L106" s="51">
        <f t="shared" si="22"/>
        <v>-65999.37</v>
      </c>
      <c r="M106" s="54">
        <f t="shared" si="20"/>
        <v>-0.509628196821924</v>
      </c>
      <c r="N106" s="51">
        <f t="shared" si="23"/>
        <v>-3233827.0700000003</v>
      </c>
      <c r="O106" s="54">
        <f t="shared" si="14"/>
        <v>0.044675656392993354</v>
      </c>
      <c r="P106" s="51">
        <f t="shared" si="24"/>
        <v>-155771.40999999997</v>
      </c>
      <c r="Q106" s="56"/>
    </row>
    <row r="107" spans="1:17" ht="62.25" customHeight="1" outlineLevel="2">
      <c r="A107" s="64" t="s">
        <v>186</v>
      </c>
      <c r="B107" s="65" t="s">
        <v>187</v>
      </c>
      <c r="C107" s="59" t="s">
        <v>188</v>
      </c>
      <c r="D107" s="60" t="s">
        <v>186</v>
      </c>
      <c r="E107" s="61">
        <v>3053889.31</v>
      </c>
      <c r="F107" s="61">
        <v>303501.04</v>
      </c>
      <c r="G107" s="62">
        <f>F107-E107</f>
        <v>-2750388.27</v>
      </c>
      <c r="H107" s="63">
        <f t="shared" si="21"/>
        <v>0.09938180765300887</v>
      </c>
      <c r="I107" s="61">
        <v>3335156.7</v>
      </c>
      <c r="J107" s="61">
        <v>217229</v>
      </c>
      <c r="K107" s="61">
        <v>151229.63</v>
      </c>
      <c r="L107" s="61">
        <f t="shared" si="22"/>
        <v>-65999.37</v>
      </c>
      <c r="M107" s="63">
        <f t="shared" si="20"/>
        <v>-1.2126130468117509</v>
      </c>
      <c r="N107" s="61">
        <f>K107-I107</f>
        <v>-3183927.0700000003</v>
      </c>
      <c r="O107" s="63">
        <f t="shared" si="14"/>
        <v>0.045344085331882604</v>
      </c>
      <c r="P107" s="61">
        <f t="shared" si="24"/>
        <v>-152271.40999999997</v>
      </c>
      <c r="Q107" s="74"/>
    </row>
    <row r="108" spans="1:17" ht="35.25" customHeight="1" outlineLevel="3">
      <c r="A108" s="64" t="s">
        <v>189</v>
      </c>
      <c r="B108" s="65" t="s">
        <v>190</v>
      </c>
      <c r="C108" s="59" t="s">
        <v>191</v>
      </c>
      <c r="D108" s="60" t="s">
        <v>192</v>
      </c>
      <c r="E108" s="62">
        <v>3895320.15</v>
      </c>
      <c r="F108" s="62">
        <v>3500</v>
      </c>
      <c r="G108" s="62">
        <f>F108-E108</f>
        <v>-3891820.15</v>
      </c>
      <c r="H108" s="63">
        <f t="shared" si="21"/>
        <v>0.0008985140797733917</v>
      </c>
      <c r="I108" s="61">
        <v>49900</v>
      </c>
      <c r="J108" s="61"/>
      <c r="K108" s="62"/>
      <c r="L108" s="61">
        <f t="shared" si="22"/>
        <v>0</v>
      </c>
      <c r="M108" s="63">
        <f t="shared" si="20"/>
        <v>-0.01282176413008191</v>
      </c>
      <c r="N108" s="61">
        <f>K108-I108</f>
        <v>-49900</v>
      </c>
      <c r="O108" s="63"/>
      <c r="P108" s="61">
        <f t="shared" si="24"/>
        <v>-3500</v>
      </c>
      <c r="Q108" s="66"/>
    </row>
    <row r="109" spans="1:17" s="32" customFormat="1" ht="75" customHeight="1" outlineLevel="1">
      <c r="A109" s="24" t="s">
        <v>193</v>
      </c>
      <c r="B109" s="48" t="s">
        <v>194</v>
      </c>
      <c r="C109" s="49" t="s">
        <v>195</v>
      </c>
      <c r="D109" s="50" t="s">
        <v>193</v>
      </c>
      <c r="E109" s="51">
        <f>E110+E111</f>
        <v>19228417.560000002</v>
      </c>
      <c r="F109" s="51">
        <f>F110+F111</f>
        <v>817113.88</v>
      </c>
      <c r="G109" s="58">
        <f>G110+G111</f>
        <v>-18411303.68</v>
      </c>
      <c r="H109" s="54">
        <f t="shared" si="21"/>
        <v>0.04249511835543891</v>
      </c>
      <c r="I109" s="51">
        <f>I110+I111</f>
        <v>23892500</v>
      </c>
      <c r="J109" s="51">
        <f>J110+J111</f>
        <v>200000</v>
      </c>
      <c r="K109" s="51">
        <f>K110+K111</f>
        <v>1670518.84</v>
      </c>
      <c r="L109" s="51">
        <f t="shared" si="22"/>
        <v>1470518.84</v>
      </c>
      <c r="M109" s="54">
        <f t="shared" si="20"/>
        <v>-1.2977082131318145</v>
      </c>
      <c r="N109" s="51">
        <f>N110+N111</f>
        <v>-22221981.16</v>
      </c>
      <c r="O109" s="54">
        <f t="shared" si="14"/>
        <v>0.06991812660876845</v>
      </c>
      <c r="P109" s="51">
        <f t="shared" si="24"/>
        <v>853404.9600000001</v>
      </c>
      <c r="Q109" s="56"/>
    </row>
    <row r="110" spans="1:17" ht="75.75" customHeight="1" outlineLevel="2">
      <c r="A110" s="64" t="s">
        <v>196</v>
      </c>
      <c r="B110" s="65" t="s">
        <v>197</v>
      </c>
      <c r="C110" s="59" t="s">
        <v>198</v>
      </c>
      <c r="D110" s="60" t="s">
        <v>196</v>
      </c>
      <c r="E110" s="61">
        <v>7574993.66</v>
      </c>
      <c r="F110" s="61"/>
      <c r="G110" s="62">
        <f aca="true" t="shared" si="25" ref="G110:G130">F110-E110</f>
        <v>-7574993.66</v>
      </c>
      <c r="H110" s="63">
        <f t="shared" si="21"/>
        <v>0</v>
      </c>
      <c r="I110" s="61">
        <v>17958200</v>
      </c>
      <c r="J110" s="61"/>
      <c r="K110" s="61">
        <v>1322436</v>
      </c>
      <c r="L110" s="61">
        <f t="shared" si="22"/>
        <v>1322436</v>
      </c>
      <c r="M110" s="63">
        <f t="shared" si="20"/>
        <v>-2.3707214561549876</v>
      </c>
      <c r="N110" s="61">
        <f>K110-I110</f>
        <v>-16635764</v>
      </c>
      <c r="O110" s="63">
        <f t="shared" si="14"/>
        <v>0.0736396743548908</v>
      </c>
      <c r="P110" s="61">
        <f t="shared" si="24"/>
        <v>1322436</v>
      </c>
      <c r="Q110" s="73"/>
    </row>
    <row r="111" spans="1:17" ht="36" customHeight="1" outlineLevel="2">
      <c r="A111" s="64" t="s">
        <v>199</v>
      </c>
      <c r="B111" s="65" t="s">
        <v>200</v>
      </c>
      <c r="C111" s="59" t="s">
        <v>201</v>
      </c>
      <c r="D111" s="60" t="s">
        <v>199</v>
      </c>
      <c r="E111" s="61">
        <v>11653423.9</v>
      </c>
      <c r="F111" s="61">
        <v>817113.88</v>
      </c>
      <c r="G111" s="62">
        <f t="shared" si="25"/>
        <v>-10836310.02</v>
      </c>
      <c r="H111" s="63">
        <f t="shared" si="21"/>
        <v>0.0701179230251806</v>
      </c>
      <c r="I111" s="61">
        <v>5934300</v>
      </c>
      <c r="J111" s="61">
        <v>200000</v>
      </c>
      <c r="K111" s="61">
        <v>348082.84</v>
      </c>
      <c r="L111" s="61">
        <f t="shared" si="22"/>
        <v>148082.84000000003</v>
      </c>
      <c r="M111" s="63">
        <f t="shared" si="20"/>
        <v>-0.5476310652839739</v>
      </c>
      <c r="N111" s="61">
        <f>K111-I111</f>
        <v>-5586217.16</v>
      </c>
      <c r="O111" s="63">
        <f t="shared" si="14"/>
        <v>0.0586560908616012</v>
      </c>
      <c r="P111" s="61">
        <f t="shared" si="24"/>
        <v>-469031.04</v>
      </c>
      <c r="Q111" s="66"/>
    </row>
    <row r="112" spans="1:17" s="32" customFormat="1" ht="69" customHeight="1" outlineLevel="1">
      <c r="A112" s="24" t="s">
        <v>202</v>
      </c>
      <c r="B112" s="48" t="s">
        <v>203</v>
      </c>
      <c r="C112" s="49" t="s">
        <v>204</v>
      </c>
      <c r="D112" s="50" t="s">
        <v>202</v>
      </c>
      <c r="E112" s="51">
        <v>1668058.37</v>
      </c>
      <c r="F112" s="51">
        <v>126002.96</v>
      </c>
      <c r="G112" s="58">
        <f t="shared" si="25"/>
        <v>-1542055.4100000001</v>
      </c>
      <c r="H112" s="54">
        <f t="shared" si="21"/>
        <v>0.07553869952404603</v>
      </c>
      <c r="I112" s="51">
        <v>164894.64</v>
      </c>
      <c r="J112" s="51">
        <v>35150</v>
      </c>
      <c r="K112" s="51">
        <v>139289.85</v>
      </c>
      <c r="L112" s="51">
        <f t="shared" si="22"/>
        <v>104139.85</v>
      </c>
      <c r="M112" s="54">
        <f t="shared" si="20"/>
        <v>-0.10693172173365677</v>
      </c>
      <c r="N112" s="51">
        <f>K112-I112</f>
        <v>-25604.790000000008</v>
      </c>
      <c r="O112" s="54">
        <f t="shared" si="14"/>
        <v>0.8447203013997301</v>
      </c>
      <c r="P112" s="51">
        <f t="shared" si="24"/>
        <v>13286.89</v>
      </c>
      <c r="Q112" s="74" t="s">
        <v>258</v>
      </c>
    </row>
    <row r="113" spans="1:17" s="32" customFormat="1" ht="30.75" customHeight="1" outlineLevel="1">
      <c r="A113" s="24" t="s">
        <v>205</v>
      </c>
      <c r="B113" s="48" t="s">
        <v>206</v>
      </c>
      <c r="C113" s="49" t="s">
        <v>207</v>
      </c>
      <c r="D113" s="50" t="s">
        <v>205</v>
      </c>
      <c r="E113" s="51">
        <f>E114+E115+E116+E117+E118+E119+E120</f>
        <v>7747287.5</v>
      </c>
      <c r="F113" s="51">
        <f>F114+F115+F116+F117+F118+F119+F120</f>
        <v>633647.35</v>
      </c>
      <c r="G113" s="58">
        <f>G114+G115+G116+G117+G118+G119</f>
        <v>-5521936.15</v>
      </c>
      <c r="H113" s="75">
        <f t="shared" si="21"/>
        <v>0.08178957473825516</v>
      </c>
      <c r="I113" s="51">
        <f>I114+I115+I116+I117+I118+I119+I120</f>
        <v>7004782.08</v>
      </c>
      <c r="J113" s="51">
        <f>J114+J115+J116+J117+J118+J119+J120</f>
        <v>918137.48</v>
      </c>
      <c r="K113" s="51">
        <f>K114+K115+K116+K117+K118+K119+K120</f>
        <v>1043203.27</v>
      </c>
      <c r="L113" s="51">
        <f>L114+L115+L116+L117+L118+L119+L120</f>
        <v>125065.79000000004</v>
      </c>
      <c r="M113" s="51" t="e">
        <f>M114+M115+M116+M117+M118+M119+M120</f>
        <v>#DIV/0!</v>
      </c>
      <c r="N113" s="51">
        <f>N114+N115+N116+N117+N118+N119+N120</f>
        <v>-5961578.81</v>
      </c>
      <c r="O113" s="54">
        <f t="shared" si="14"/>
        <v>0.14892729824936968</v>
      </c>
      <c r="P113" s="51">
        <f t="shared" si="24"/>
        <v>409555.92000000004</v>
      </c>
      <c r="Q113" s="56"/>
    </row>
    <row r="114" spans="1:17" s="4" customFormat="1" ht="72" customHeight="1" outlineLevel="1">
      <c r="A114" s="76"/>
      <c r="B114" s="77" t="s">
        <v>208</v>
      </c>
      <c r="C114" s="59" t="s">
        <v>209</v>
      </c>
      <c r="D114" s="60" t="s">
        <v>210</v>
      </c>
      <c r="E114" s="78">
        <v>0</v>
      </c>
      <c r="F114" s="79"/>
      <c r="G114" s="62"/>
      <c r="H114" s="63"/>
      <c r="I114" s="79"/>
      <c r="J114" s="79"/>
      <c r="K114" s="79"/>
      <c r="L114" s="61">
        <f t="shared" si="22"/>
        <v>0</v>
      </c>
      <c r="M114" s="63"/>
      <c r="N114" s="61">
        <f aca="true" t="shared" si="26" ref="N114:N120">K114-I114</f>
        <v>0</v>
      </c>
      <c r="O114" s="63"/>
      <c r="P114" s="61">
        <f t="shared" si="24"/>
        <v>0</v>
      </c>
      <c r="Q114" s="80"/>
    </row>
    <row r="115" spans="1:17" ht="94.5" customHeight="1" outlineLevel="5">
      <c r="A115" s="64" t="s">
        <v>211</v>
      </c>
      <c r="B115" s="65" t="s">
        <v>212</v>
      </c>
      <c r="C115" s="59" t="s">
        <v>213</v>
      </c>
      <c r="D115" s="60" t="s">
        <v>211</v>
      </c>
      <c r="E115" s="61">
        <v>898909.4</v>
      </c>
      <c r="F115" s="61"/>
      <c r="G115" s="62">
        <f t="shared" si="25"/>
        <v>-898909.4</v>
      </c>
      <c r="H115" s="63">
        <f t="shared" si="21"/>
        <v>0</v>
      </c>
      <c r="I115" s="61">
        <v>936864.56</v>
      </c>
      <c r="J115" s="61"/>
      <c r="K115" s="61">
        <v>136700</v>
      </c>
      <c r="L115" s="61">
        <f t="shared" si="22"/>
        <v>136700</v>
      </c>
      <c r="M115" s="63">
        <f>I115/G115</f>
        <v>-1.0422235655784666</v>
      </c>
      <c r="N115" s="61">
        <f t="shared" si="26"/>
        <v>-800164.56</v>
      </c>
      <c r="O115" s="63">
        <f t="shared" si="14"/>
        <v>0.14591223303398304</v>
      </c>
      <c r="P115" s="61">
        <f t="shared" si="24"/>
        <v>136700</v>
      </c>
      <c r="Q115" s="66" t="s">
        <v>259</v>
      </c>
    </row>
    <row r="116" spans="1:17" ht="61.5" customHeight="1" outlineLevel="5">
      <c r="A116" s="64" t="s">
        <v>214</v>
      </c>
      <c r="B116" s="65" t="s">
        <v>215</v>
      </c>
      <c r="C116" s="59" t="s">
        <v>216</v>
      </c>
      <c r="D116" s="60" t="s">
        <v>214</v>
      </c>
      <c r="E116" s="61">
        <v>91219.38</v>
      </c>
      <c r="F116" s="61">
        <v>3373</v>
      </c>
      <c r="G116" s="62">
        <f t="shared" si="25"/>
        <v>-87846.38</v>
      </c>
      <c r="H116" s="63">
        <f t="shared" si="21"/>
        <v>0.036976791554601665</v>
      </c>
      <c r="I116" s="61">
        <v>33077</v>
      </c>
      <c r="J116" s="61">
        <v>4255</v>
      </c>
      <c r="K116" s="61"/>
      <c r="L116" s="61">
        <f t="shared" si="22"/>
        <v>-4255</v>
      </c>
      <c r="M116" s="63">
        <f>I116/G116</f>
        <v>-0.3765323055998437</v>
      </c>
      <c r="N116" s="61">
        <f t="shared" si="26"/>
        <v>-33077</v>
      </c>
      <c r="O116" s="63">
        <f t="shared" si="14"/>
        <v>0</v>
      </c>
      <c r="P116" s="61">
        <f t="shared" si="24"/>
        <v>-3373</v>
      </c>
      <c r="Q116" s="66"/>
    </row>
    <row r="117" spans="1:17" ht="79.5" customHeight="1" outlineLevel="5">
      <c r="A117" s="64" t="s">
        <v>217</v>
      </c>
      <c r="B117" s="65" t="s">
        <v>218</v>
      </c>
      <c r="C117" s="59" t="s">
        <v>219</v>
      </c>
      <c r="D117" s="60" t="s">
        <v>217</v>
      </c>
      <c r="E117" s="61">
        <v>0</v>
      </c>
      <c r="F117" s="61"/>
      <c r="G117" s="62">
        <f t="shared" si="25"/>
        <v>0</v>
      </c>
      <c r="H117" s="63" t="e">
        <f t="shared" si="21"/>
        <v>#DIV/0!</v>
      </c>
      <c r="I117" s="61"/>
      <c r="J117" s="61"/>
      <c r="K117" s="61"/>
      <c r="L117" s="61">
        <f t="shared" si="22"/>
        <v>0</v>
      </c>
      <c r="M117" s="63"/>
      <c r="N117" s="61">
        <f t="shared" si="26"/>
        <v>0</v>
      </c>
      <c r="O117" s="63"/>
      <c r="P117" s="61">
        <f t="shared" si="24"/>
        <v>0</v>
      </c>
      <c r="Q117" s="66"/>
    </row>
    <row r="118" spans="1:17" ht="45" customHeight="1" hidden="1" outlineLevel="5">
      <c r="A118" s="64" t="s">
        <v>220</v>
      </c>
      <c r="B118" s="65"/>
      <c r="C118" s="59" t="s">
        <v>221</v>
      </c>
      <c r="D118" s="60" t="s">
        <v>220</v>
      </c>
      <c r="E118" s="61"/>
      <c r="F118" s="61"/>
      <c r="G118" s="62">
        <f t="shared" si="25"/>
        <v>0</v>
      </c>
      <c r="H118" s="63" t="e">
        <f t="shared" si="21"/>
        <v>#DIV/0!</v>
      </c>
      <c r="I118" s="61"/>
      <c r="J118" s="61"/>
      <c r="K118" s="61"/>
      <c r="L118" s="61">
        <f t="shared" si="22"/>
        <v>0</v>
      </c>
      <c r="M118" s="63" t="e">
        <f aca="true" t="shared" si="27" ref="M118:M127">I118/G118</f>
        <v>#DIV/0!</v>
      </c>
      <c r="N118" s="61">
        <f t="shared" si="26"/>
        <v>0</v>
      </c>
      <c r="O118" s="63" t="e">
        <f t="shared" si="14"/>
        <v>#DIV/0!</v>
      </c>
      <c r="P118" s="61">
        <f t="shared" si="24"/>
        <v>0</v>
      </c>
      <c r="Q118" s="81" t="s">
        <v>222</v>
      </c>
    </row>
    <row r="119" spans="1:17" ht="117" customHeight="1" outlineLevel="5">
      <c r="A119" s="64" t="s">
        <v>223</v>
      </c>
      <c r="B119" s="82" t="s">
        <v>224</v>
      </c>
      <c r="C119" s="83" t="s">
        <v>225</v>
      </c>
      <c r="D119" s="84" t="s">
        <v>223</v>
      </c>
      <c r="E119" s="85">
        <v>5165454.72</v>
      </c>
      <c r="F119" s="85">
        <v>630274.35</v>
      </c>
      <c r="G119" s="86">
        <f t="shared" si="25"/>
        <v>-4535180.37</v>
      </c>
      <c r="H119" s="87">
        <f t="shared" si="21"/>
        <v>0.12201720548621904</v>
      </c>
      <c r="I119" s="85">
        <v>4745840.52</v>
      </c>
      <c r="J119" s="85">
        <v>913882.48</v>
      </c>
      <c r="K119" s="85">
        <v>856503.27</v>
      </c>
      <c r="L119" s="85">
        <f t="shared" si="22"/>
        <v>-57379.20999999996</v>
      </c>
      <c r="M119" s="87">
        <f t="shared" si="27"/>
        <v>-1.0464502253082382</v>
      </c>
      <c r="N119" s="85">
        <f t="shared" si="26"/>
        <v>-3889337.2499999995</v>
      </c>
      <c r="O119" s="87">
        <f t="shared" si="14"/>
        <v>0.18047451581874902</v>
      </c>
      <c r="P119" s="85">
        <f t="shared" si="24"/>
        <v>226228.92000000004</v>
      </c>
      <c r="Q119" s="88"/>
    </row>
    <row r="120" spans="1:17" ht="47.25" customHeight="1" outlineLevel="5" thickBot="1">
      <c r="A120" s="64"/>
      <c r="B120" s="65" t="s">
        <v>226</v>
      </c>
      <c r="C120" s="89" t="s">
        <v>227</v>
      </c>
      <c r="D120" s="90"/>
      <c r="E120" s="91">
        <v>1591704</v>
      </c>
      <c r="F120" s="91"/>
      <c r="G120" s="92"/>
      <c r="H120" s="93"/>
      <c r="I120" s="91">
        <v>1289000</v>
      </c>
      <c r="J120" s="91"/>
      <c r="K120" s="91">
        <v>50000</v>
      </c>
      <c r="L120" s="85">
        <f t="shared" si="22"/>
        <v>50000</v>
      </c>
      <c r="M120" s="93"/>
      <c r="N120" s="85">
        <f t="shared" si="26"/>
        <v>-1239000</v>
      </c>
      <c r="O120" s="93"/>
      <c r="P120" s="85">
        <f t="shared" si="24"/>
        <v>50000</v>
      </c>
      <c r="Q120" s="94"/>
    </row>
    <row r="121" spans="1:17" s="16" customFormat="1" ht="31.5" customHeight="1" thickBot="1">
      <c r="A121" s="9" t="s">
        <v>228</v>
      </c>
      <c r="B121" s="10" t="s">
        <v>226</v>
      </c>
      <c r="C121" s="95" t="s">
        <v>229</v>
      </c>
      <c r="D121" s="96" t="s">
        <v>228</v>
      </c>
      <c r="E121" s="99">
        <f>E122+E126+E127+E128+E129+E130</f>
        <v>3087425772.07</v>
      </c>
      <c r="F121" s="99">
        <f>F122+F126+F127+F128+F129+F130</f>
        <v>78160542.92</v>
      </c>
      <c r="G121" s="97">
        <f t="shared" si="25"/>
        <v>-3009265229.15</v>
      </c>
      <c r="H121" s="98">
        <f t="shared" si="21"/>
        <v>0.025315764228915006</v>
      </c>
      <c r="I121" s="99">
        <f>I122+I126+I127+I128+I129+I130</f>
        <v>2380028178.9300003</v>
      </c>
      <c r="J121" s="100" t="s">
        <v>230</v>
      </c>
      <c r="K121" s="99">
        <f>K122+K126+K127+K128+K129+K130</f>
        <v>87131930.52000001</v>
      </c>
      <c r="L121" s="100" t="s">
        <v>230</v>
      </c>
      <c r="M121" s="98">
        <f t="shared" si="27"/>
        <v>-0.7909001027477612</v>
      </c>
      <c r="N121" s="99">
        <f>N122+N126+N127+N130</f>
        <v>-2266023596.8199997</v>
      </c>
      <c r="O121" s="98">
        <f t="shared" si="14"/>
        <v>0.03660962138657211</v>
      </c>
      <c r="P121" s="99">
        <f t="shared" si="24"/>
        <v>8971387.600000009</v>
      </c>
      <c r="Q121" s="101"/>
    </row>
    <row r="122" spans="1:17" ht="86.25" customHeight="1" outlineLevel="2">
      <c r="A122" s="64" t="s">
        <v>231</v>
      </c>
      <c r="B122" s="65" t="s">
        <v>232</v>
      </c>
      <c r="C122" s="102" t="s">
        <v>233</v>
      </c>
      <c r="D122" s="103" t="s">
        <v>231</v>
      </c>
      <c r="E122" s="104">
        <v>473098326.55</v>
      </c>
      <c r="F122" s="104">
        <v>36637183.77</v>
      </c>
      <c r="G122" s="105">
        <f t="shared" si="25"/>
        <v>-436461142.78000003</v>
      </c>
      <c r="H122" s="106">
        <f t="shared" si="21"/>
        <v>0.0774409498278535</v>
      </c>
      <c r="I122" s="104">
        <v>497698288.62</v>
      </c>
      <c r="J122" s="107" t="s">
        <v>230</v>
      </c>
      <c r="K122" s="104">
        <v>41474861.62</v>
      </c>
      <c r="L122" s="107" t="s">
        <v>230</v>
      </c>
      <c r="M122" s="106">
        <f t="shared" si="27"/>
        <v>-1.1403037746956246</v>
      </c>
      <c r="N122" s="85">
        <f aca="true" t="shared" si="28" ref="N122:N129">K122-I122</f>
        <v>-456223427</v>
      </c>
      <c r="O122" s="106">
        <f t="shared" si="14"/>
        <v>0.08333334184250464</v>
      </c>
      <c r="P122" s="104">
        <f t="shared" si="24"/>
        <v>4837677.849999994</v>
      </c>
      <c r="Q122" s="108"/>
    </row>
    <row r="123" spans="1:17" ht="42.75" customHeight="1" hidden="1" outlineLevel="3">
      <c r="A123" s="64" t="s">
        <v>234</v>
      </c>
      <c r="B123" s="65"/>
      <c r="C123" s="59" t="s">
        <v>235</v>
      </c>
      <c r="D123" s="60" t="s">
        <v>234</v>
      </c>
      <c r="E123" s="61"/>
      <c r="F123" s="61"/>
      <c r="G123" s="105">
        <f t="shared" si="25"/>
        <v>0</v>
      </c>
      <c r="H123" s="106" t="e">
        <f t="shared" si="21"/>
        <v>#DIV/0!</v>
      </c>
      <c r="I123" s="61"/>
      <c r="J123" s="61"/>
      <c r="K123" s="61"/>
      <c r="L123" s="61"/>
      <c r="M123" s="106" t="e">
        <f t="shared" si="27"/>
        <v>#DIV/0!</v>
      </c>
      <c r="N123" s="85">
        <f t="shared" si="28"/>
        <v>0</v>
      </c>
      <c r="O123" s="106" t="e">
        <f t="shared" si="14"/>
        <v>#DIV/0!</v>
      </c>
      <c r="P123" s="104">
        <f t="shared" si="24"/>
        <v>0</v>
      </c>
      <c r="Q123" s="109"/>
    </row>
    <row r="124" spans="1:17" ht="71.25" customHeight="1" hidden="1" outlineLevel="4">
      <c r="A124" s="64" t="s">
        <v>236</v>
      </c>
      <c r="B124" s="65"/>
      <c r="C124" s="59" t="s">
        <v>237</v>
      </c>
      <c r="D124" s="60" t="s">
        <v>236</v>
      </c>
      <c r="E124" s="61"/>
      <c r="F124" s="61"/>
      <c r="G124" s="105">
        <f t="shared" si="25"/>
        <v>0</v>
      </c>
      <c r="H124" s="106" t="e">
        <f t="shared" si="21"/>
        <v>#DIV/0!</v>
      </c>
      <c r="I124" s="61"/>
      <c r="J124" s="61"/>
      <c r="K124" s="61"/>
      <c r="L124" s="61"/>
      <c r="M124" s="106" t="e">
        <f t="shared" si="27"/>
        <v>#DIV/0!</v>
      </c>
      <c r="N124" s="85">
        <f t="shared" si="28"/>
        <v>0</v>
      </c>
      <c r="O124" s="106" t="e">
        <f t="shared" si="14"/>
        <v>#DIV/0!</v>
      </c>
      <c r="P124" s="104">
        <f t="shared" si="24"/>
        <v>0</v>
      </c>
      <c r="Q124" s="109"/>
    </row>
    <row r="125" spans="1:17" ht="71.25" customHeight="1" hidden="1" outlineLevel="5">
      <c r="A125" s="64" t="s">
        <v>236</v>
      </c>
      <c r="B125" s="65"/>
      <c r="C125" s="59" t="s">
        <v>238</v>
      </c>
      <c r="D125" s="60" t="s">
        <v>236</v>
      </c>
      <c r="E125" s="61"/>
      <c r="F125" s="61"/>
      <c r="G125" s="105">
        <f t="shared" si="25"/>
        <v>0</v>
      </c>
      <c r="H125" s="106" t="e">
        <f t="shared" si="21"/>
        <v>#DIV/0!</v>
      </c>
      <c r="I125" s="61"/>
      <c r="J125" s="61"/>
      <c r="K125" s="61"/>
      <c r="L125" s="61"/>
      <c r="M125" s="106" t="e">
        <f t="shared" si="27"/>
        <v>#DIV/0!</v>
      </c>
      <c r="N125" s="85">
        <f t="shared" si="28"/>
        <v>0</v>
      </c>
      <c r="O125" s="106" t="e">
        <f t="shared" si="14"/>
        <v>#DIV/0!</v>
      </c>
      <c r="P125" s="104">
        <f t="shared" si="24"/>
        <v>0</v>
      </c>
      <c r="Q125" s="109"/>
    </row>
    <row r="126" spans="1:17" ht="21" customHeight="1" outlineLevel="2" collapsed="1">
      <c r="A126" s="64" t="s">
        <v>239</v>
      </c>
      <c r="B126" s="65" t="s">
        <v>240</v>
      </c>
      <c r="C126" s="59" t="s">
        <v>241</v>
      </c>
      <c r="D126" s="60" t="s">
        <v>242</v>
      </c>
      <c r="E126" s="110">
        <v>1985905932.37</v>
      </c>
      <c r="F126" s="110"/>
      <c r="G126" s="105">
        <f t="shared" si="25"/>
        <v>-1985905932.37</v>
      </c>
      <c r="H126" s="106">
        <f t="shared" si="21"/>
        <v>0</v>
      </c>
      <c r="I126" s="61">
        <v>1286039448.59</v>
      </c>
      <c r="J126" s="107" t="s">
        <v>230</v>
      </c>
      <c r="K126" s="110"/>
      <c r="L126" s="107" t="s">
        <v>230</v>
      </c>
      <c r="M126" s="106">
        <f t="shared" si="27"/>
        <v>-0.6475832654647583</v>
      </c>
      <c r="N126" s="85">
        <f t="shared" si="28"/>
        <v>-1286039448.59</v>
      </c>
      <c r="O126" s="106">
        <f t="shared" si="14"/>
        <v>0</v>
      </c>
      <c r="P126" s="104">
        <f t="shared" si="24"/>
        <v>0</v>
      </c>
      <c r="Q126" s="109"/>
    </row>
    <row r="127" spans="1:17" ht="22.5" customHeight="1" outlineLevel="5">
      <c r="A127" s="64" t="s">
        <v>243</v>
      </c>
      <c r="B127" s="65" t="s">
        <v>244</v>
      </c>
      <c r="C127" s="59" t="s">
        <v>245</v>
      </c>
      <c r="D127" s="60" t="s">
        <v>246</v>
      </c>
      <c r="E127" s="61">
        <v>520683169.05</v>
      </c>
      <c r="F127" s="61">
        <v>41816689.07</v>
      </c>
      <c r="G127" s="105">
        <f t="shared" si="25"/>
        <v>-478866479.98</v>
      </c>
      <c r="H127" s="106">
        <f t="shared" si="21"/>
        <v>0.0803111979714951</v>
      </c>
      <c r="I127" s="61">
        <v>569417931.96</v>
      </c>
      <c r="J127" s="107" t="s">
        <v>230</v>
      </c>
      <c r="K127" s="61">
        <v>45657210.72</v>
      </c>
      <c r="L127" s="107" t="s">
        <v>230</v>
      </c>
      <c r="M127" s="106">
        <f t="shared" si="27"/>
        <v>-1.1890954071034203</v>
      </c>
      <c r="N127" s="85">
        <f t="shared" si="28"/>
        <v>-523760721.24</v>
      </c>
      <c r="O127" s="106">
        <f t="shared" si="14"/>
        <v>0.08018224955235038</v>
      </c>
      <c r="P127" s="104">
        <f t="shared" si="24"/>
        <v>3840521.6499999985</v>
      </c>
      <c r="Q127" s="109"/>
    </row>
    <row r="128" spans="1:17" ht="22.5" customHeight="1" outlineLevel="5">
      <c r="A128" s="64"/>
      <c r="B128" s="65" t="s">
        <v>247</v>
      </c>
      <c r="C128" s="59" t="s">
        <v>248</v>
      </c>
      <c r="D128" s="60"/>
      <c r="E128" s="61">
        <v>110208359.34</v>
      </c>
      <c r="F128" s="61"/>
      <c r="G128" s="105">
        <f t="shared" si="25"/>
        <v>-110208359.34</v>
      </c>
      <c r="H128" s="106">
        <f t="shared" si="21"/>
        <v>0</v>
      </c>
      <c r="I128" s="61">
        <v>26422820.59</v>
      </c>
      <c r="J128" s="107" t="s">
        <v>230</v>
      </c>
      <c r="K128" s="61"/>
      <c r="L128" s="107" t="s">
        <v>230</v>
      </c>
      <c r="M128" s="106"/>
      <c r="N128" s="85">
        <f t="shared" si="28"/>
        <v>-26422820.59</v>
      </c>
      <c r="O128" s="106"/>
      <c r="P128" s="104">
        <f t="shared" si="24"/>
        <v>0</v>
      </c>
      <c r="Q128" s="109"/>
    </row>
    <row r="129" spans="1:17" ht="54" customHeight="1" outlineLevel="5">
      <c r="A129" s="64"/>
      <c r="B129" s="65" t="s">
        <v>249</v>
      </c>
      <c r="C129" s="59" t="s">
        <v>250</v>
      </c>
      <c r="D129" s="60"/>
      <c r="E129" s="85">
        <v>1669917.56</v>
      </c>
      <c r="F129" s="85"/>
      <c r="G129" s="105"/>
      <c r="H129" s="106"/>
      <c r="I129" s="61">
        <v>449831</v>
      </c>
      <c r="J129" s="107" t="s">
        <v>230</v>
      </c>
      <c r="K129" s="85"/>
      <c r="L129" s="107" t="s">
        <v>230</v>
      </c>
      <c r="M129" s="106"/>
      <c r="N129" s="85">
        <f t="shared" si="28"/>
        <v>-449831</v>
      </c>
      <c r="O129" s="106"/>
      <c r="P129" s="104">
        <f t="shared" si="24"/>
        <v>0</v>
      </c>
      <c r="Q129" s="109"/>
    </row>
    <row r="130" spans="1:17" ht="40.5" customHeight="1" outlineLevel="1">
      <c r="A130" s="64" t="s">
        <v>251</v>
      </c>
      <c r="B130" s="65" t="s">
        <v>252</v>
      </c>
      <c r="C130" s="59" t="s">
        <v>253</v>
      </c>
      <c r="D130" s="60" t="s">
        <v>251</v>
      </c>
      <c r="E130" s="85">
        <v>-4139932.8</v>
      </c>
      <c r="F130" s="85">
        <v>-293329.92</v>
      </c>
      <c r="G130" s="105">
        <f t="shared" si="25"/>
        <v>3846602.88</v>
      </c>
      <c r="H130" s="106">
        <f t="shared" si="21"/>
        <v>0.0708537877716276</v>
      </c>
      <c r="I130" s="61">
        <v>-141.83</v>
      </c>
      <c r="J130" s="107" t="s">
        <v>230</v>
      </c>
      <c r="K130" s="85">
        <v>-141.82</v>
      </c>
      <c r="L130" s="107" t="s">
        <v>230</v>
      </c>
      <c r="M130" s="63"/>
      <c r="N130" s="85">
        <f>K130-I130</f>
        <v>0.010000000000019327</v>
      </c>
      <c r="O130" s="63"/>
      <c r="P130" s="104">
        <f t="shared" si="24"/>
        <v>293188.1</v>
      </c>
      <c r="Q130" s="109"/>
    </row>
    <row r="131" spans="1:17" s="118" customFormat="1" ht="23.25" customHeight="1">
      <c r="A131" s="506" t="s">
        <v>254</v>
      </c>
      <c r="B131" s="507"/>
      <c r="C131" s="508"/>
      <c r="D131" s="509"/>
      <c r="E131" s="115">
        <f>E121+E11</f>
        <v>3513539007.31</v>
      </c>
      <c r="F131" s="115">
        <f>F121+F11</f>
        <v>94539612.36</v>
      </c>
      <c r="G131" s="111">
        <f>F131-E131</f>
        <v>-3418999394.95</v>
      </c>
      <c r="H131" s="112">
        <f>F131/E131</f>
        <v>0.02690723289632138</v>
      </c>
      <c r="I131" s="113">
        <f>I121+I11</f>
        <v>2777126157.5400004</v>
      </c>
      <c r="J131" s="114" t="s">
        <v>230</v>
      </c>
      <c r="K131" s="115">
        <f>K121+K11</f>
        <v>103614080.4</v>
      </c>
      <c r="L131" s="114" t="s">
        <v>230</v>
      </c>
      <c r="M131" s="112">
        <f>I131/G131</f>
        <v>-0.8122628397191084</v>
      </c>
      <c r="N131" s="115">
        <f>N121+N11</f>
        <v>-2646639425.5499997</v>
      </c>
      <c r="O131" s="112">
        <f>K131/I131</f>
        <v>0.03730982120444328</v>
      </c>
      <c r="P131" s="116">
        <f>K131-F131</f>
        <v>9074468.040000007</v>
      </c>
      <c r="Q131" s="117"/>
    </row>
    <row r="132" spans="1:17" s="129" customFormat="1" ht="24.75" customHeight="1">
      <c r="A132" s="119"/>
      <c r="B132" s="120">
        <v>46</v>
      </c>
      <c r="C132" s="121" t="s">
        <v>255</v>
      </c>
      <c r="D132" s="122"/>
      <c r="E132" s="123">
        <v>39027</v>
      </c>
      <c r="F132" s="123">
        <v>3540</v>
      </c>
      <c r="G132" s="124"/>
      <c r="H132" s="125"/>
      <c r="I132" s="126"/>
      <c r="J132" s="126"/>
      <c r="K132" s="123">
        <v>-39027</v>
      </c>
      <c r="L132" s="126"/>
      <c r="M132" s="125"/>
      <c r="N132" s="123"/>
      <c r="O132" s="125"/>
      <c r="P132" s="127"/>
      <c r="Q132" s="128"/>
    </row>
    <row r="133" spans="1:17" s="118" customFormat="1" ht="26.25" customHeight="1" thickBot="1">
      <c r="A133" s="130"/>
      <c r="B133" s="131"/>
      <c r="C133" s="131"/>
      <c r="D133" s="131"/>
      <c r="E133" s="136">
        <f>E131++E132</f>
        <v>3513578034.31</v>
      </c>
      <c r="F133" s="136">
        <f>F131++F132</f>
        <v>94543152.36</v>
      </c>
      <c r="G133" s="132">
        <f>F133-E133</f>
        <v>-3419034881.95</v>
      </c>
      <c r="H133" s="133">
        <f>F133/E133</f>
        <v>0.02690794154471269</v>
      </c>
      <c r="I133" s="134">
        <f>I131++I132</f>
        <v>2777126157.5400004</v>
      </c>
      <c r="J133" s="135" t="s">
        <v>230</v>
      </c>
      <c r="K133" s="136">
        <f>K131++K132</f>
        <v>103575053.4</v>
      </c>
      <c r="L133" s="137" t="s">
        <v>230</v>
      </c>
      <c r="M133" s="133">
        <f>I133/G133</f>
        <v>-0.8122544090442577</v>
      </c>
      <c r="N133" s="136">
        <f>N131++N132</f>
        <v>-2646639425.5499997</v>
      </c>
      <c r="O133" s="133">
        <f>K133/I133</f>
        <v>0.03729576818784048</v>
      </c>
      <c r="P133" s="132">
        <f>K133-F133</f>
        <v>9031901.040000007</v>
      </c>
      <c r="Q133" s="138"/>
    </row>
    <row r="134" ht="15">
      <c r="E134" s="139"/>
    </row>
    <row r="137" ht="15">
      <c r="E137" s="139"/>
    </row>
  </sheetData>
  <sheetProtection/>
  <mergeCells count="26">
    <mergeCell ref="P7:P9"/>
    <mergeCell ref="M8:M9"/>
    <mergeCell ref="N8:N9"/>
    <mergeCell ref="O8:O9"/>
    <mergeCell ref="A1:D1"/>
    <mergeCell ref="A2:D2"/>
    <mergeCell ref="A3:D3"/>
    <mergeCell ref="A4:Q4"/>
    <mergeCell ref="A5:D5"/>
    <mergeCell ref="A6:Q6"/>
    <mergeCell ref="A131:D131"/>
    <mergeCell ref="Q7:Q9"/>
    <mergeCell ref="A8:A9"/>
    <mergeCell ref="E8:E9"/>
    <mergeCell ref="F8:F9"/>
    <mergeCell ref="G8:G9"/>
    <mergeCell ref="H8:H9"/>
    <mergeCell ref="I8:I9"/>
    <mergeCell ref="J8:J9"/>
    <mergeCell ref="K8:K9"/>
    <mergeCell ref="L8:L9"/>
    <mergeCell ref="B7:B9"/>
    <mergeCell ref="C7:C9"/>
    <mergeCell ref="D7:D9"/>
    <mergeCell ref="E7:H7"/>
    <mergeCell ref="I7:O7"/>
  </mergeCells>
  <printOptions horizontalCentered="1"/>
  <pageMargins left="0" right="0" top="0.1968503937007874" bottom="0" header="0.3937007874015748" footer="0.3937007874015748"/>
  <pageSetup blackAndWhite="1" errors="blank" fitToHeight="0" fitToWidth="1" horizontalDpi="600" verticalDpi="600" orientation="landscape" paperSize="9" scale="56" r:id="rId1"/>
</worksheet>
</file>

<file path=xl/worksheets/sheet2.xml><?xml version="1.0" encoding="utf-8"?>
<worksheet xmlns="http://schemas.openxmlformats.org/spreadsheetml/2006/main" xmlns:r="http://schemas.openxmlformats.org/officeDocument/2006/relationships">
  <sheetPr>
    <tabColor theme="0" tint="-0.04997999966144562"/>
    <pageSetUpPr fitToPage="1"/>
  </sheetPr>
  <dimension ref="A1:Q137"/>
  <sheetViews>
    <sheetView showGridLines="0" showZeros="0" tabSelected="1" view="pageBreakPreview" zoomScale="85" zoomScaleNormal="75" zoomScaleSheetLayoutView="85" zoomScalePageLayoutView="0" workbookViewId="0" topLeftCell="B1">
      <pane ySplit="9" topLeftCell="A10" activePane="bottomLeft" state="frozen"/>
      <selection pane="topLeft" activeCell="A1" sqref="A1"/>
      <selection pane="bottomLeft" activeCell="K133" sqref="K133"/>
    </sheetView>
  </sheetViews>
  <sheetFormatPr defaultColWidth="9.140625" defaultRowHeight="15" outlineLevelRow="5"/>
  <cols>
    <col min="1" max="1" width="9.140625" style="1" hidden="1" customWidth="1"/>
    <col min="2" max="2" width="5.28125" style="1" customWidth="1"/>
    <col min="3" max="3" width="27.421875" style="2" customWidth="1"/>
    <col min="4" max="4" width="18.00390625" style="1" hidden="1" customWidth="1"/>
    <col min="5" max="6" width="21.421875" style="1" bestFit="1" customWidth="1"/>
    <col min="7" max="7" width="20.57421875" style="1" customWidth="1"/>
    <col min="8" max="8" width="10.28125" style="1" customWidth="1"/>
    <col min="9" max="9" width="20.28125" style="1" customWidth="1"/>
    <col min="10" max="10" width="17.57421875" style="1" hidden="1" customWidth="1"/>
    <col min="11" max="11" width="21.421875" style="1" bestFit="1" customWidth="1"/>
    <col min="12" max="12" width="19.140625" style="1" hidden="1" customWidth="1"/>
    <col min="13" max="13" width="14.28125" style="1" hidden="1" customWidth="1"/>
    <col min="14" max="14" width="21.140625" style="1" customWidth="1"/>
    <col min="15" max="15" width="13.8515625" style="1" customWidth="1"/>
    <col min="16" max="16" width="19.28125" style="1" customWidth="1"/>
    <col min="17" max="17" width="50.28125" style="2" bestFit="1" customWidth="1"/>
    <col min="18" max="16384" width="9.140625" style="1" customWidth="1"/>
  </cols>
  <sheetData>
    <row r="1" spans="1:4" ht="13.5" customHeight="1">
      <c r="A1" s="535" t="s">
        <v>0</v>
      </c>
      <c r="B1" s="535"/>
      <c r="C1" s="536"/>
      <c r="D1" s="536"/>
    </row>
    <row r="2" spans="1:4" ht="15" customHeight="1" hidden="1">
      <c r="A2" s="535"/>
      <c r="B2" s="535"/>
      <c r="C2" s="536"/>
      <c r="D2" s="536"/>
    </row>
    <row r="3" spans="1:5" ht="18" customHeight="1">
      <c r="A3" s="537"/>
      <c r="B3" s="537"/>
      <c r="C3" s="537"/>
      <c r="D3" s="537"/>
      <c r="E3" s="537"/>
    </row>
    <row r="4" spans="1:17" ht="15" customHeight="1">
      <c r="A4" s="538" t="s">
        <v>322</v>
      </c>
      <c r="B4" s="538"/>
      <c r="C4" s="538"/>
      <c r="D4" s="538"/>
      <c r="E4" s="538"/>
      <c r="F4" s="538"/>
      <c r="G4" s="538"/>
      <c r="H4" s="538"/>
      <c r="I4" s="538"/>
      <c r="J4" s="538"/>
      <c r="K4" s="538"/>
      <c r="L4" s="538"/>
      <c r="M4" s="538"/>
      <c r="N4" s="538"/>
      <c r="O4" s="538"/>
      <c r="P4" s="538"/>
      <c r="Q4" s="538"/>
    </row>
    <row r="5" spans="1:4" ht="0.75" customHeight="1">
      <c r="A5" s="539"/>
      <c r="B5" s="539"/>
      <c r="C5" s="540"/>
      <c r="D5" s="540"/>
    </row>
    <row r="6" spans="1:17" ht="12.75" customHeight="1" thickBot="1">
      <c r="A6" s="541" t="s">
        <v>1</v>
      </c>
      <c r="B6" s="541"/>
      <c r="C6" s="541"/>
      <c r="D6" s="541"/>
      <c r="E6" s="541"/>
      <c r="F6" s="541"/>
      <c r="G6" s="541"/>
      <c r="H6" s="541"/>
      <c r="I6" s="541"/>
      <c r="J6" s="541"/>
      <c r="K6" s="541"/>
      <c r="L6" s="541"/>
      <c r="M6" s="541"/>
      <c r="N6" s="541"/>
      <c r="O6" s="541"/>
      <c r="P6" s="541"/>
      <c r="Q6" s="541"/>
    </row>
    <row r="7" spans="1:17" s="4" customFormat="1" ht="24" customHeight="1">
      <c r="A7" s="3"/>
      <c r="B7" s="524"/>
      <c r="C7" s="525" t="s">
        <v>2</v>
      </c>
      <c r="D7" s="527" t="s">
        <v>3</v>
      </c>
      <c r="E7" s="530">
        <v>2022</v>
      </c>
      <c r="F7" s="530"/>
      <c r="G7" s="530"/>
      <c r="H7" s="531"/>
      <c r="I7" s="532">
        <v>2023</v>
      </c>
      <c r="J7" s="530"/>
      <c r="K7" s="530"/>
      <c r="L7" s="530"/>
      <c r="M7" s="530"/>
      <c r="N7" s="530"/>
      <c r="O7" s="531"/>
      <c r="P7" s="533" t="s">
        <v>262</v>
      </c>
      <c r="Q7" s="510" t="s">
        <v>4</v>
      </c>
    </row>
    <row r="8" spans="1:17" s="4" customFormat="1" ht="24" customHeight="1">
      <c r="A8" s="512" t="s">
        <v>5</v>
      </c>
      <c r="B8" s="524"/>
      <c r="C8" s="526"/>
      <c r="D8" s="528"/>
      <c r="E8" s="514" t="s">
        <v>261</v>
      </c>
      <c r="F8" s="516" t="s">
        <v>323</v>
      </c>
      <c r="G8" s="514" t="s">
        <v>6</v>
      </c>
      <c r="H8" s="519" t="s">
        <v>7</v>
      </c>
      <c r="I8" s="516" t="s">
        <v>8</v>
      </c>
      <c r="J8" s="516" t="s">
        <v>9</v>
      </c>
      <c r="K8" s="521" t="s">
        <v>323</v>
      </c>
      <c r="L8" s="523" t="s">
        <v>10</v>
      </c>
      <c r="M8" s="516" t="s">
        <v>11</v>
      </c>
      <c r="N8" s="523" t="s">
        <v>12</v>
      </c>
      <c r="O8" s="516" t="s">
        <v>13</v>
      </c>
      <c r="P8" s="534"/>
      <c r="Q8" s="511"/>
    </row>
    <row r="9" spans="1:17" s="4" customFormat="1" ht="57.75" customHeight="1">
      <c r="A9" s="513"/>
      <c r="B9" s="524"/>
      <c r="C9" s="526"/>
      <c r="D9" s="529"/>
      <c r="E9" s="515"/>
      <c r="F9" s="517"/>
      <c r="G9" s="518"/>
      <c r="H9" s="520"/>
      <c r="I9" s="517"/>
      <c r="J9" s="517"/>
      <c r="K9" s="522"/>
      <c r="L9" s="518"/>
      <c r="M9" s="517"/>
      <c r="N9" s="518"/>
      <c r="O9" s="517"/>
      <c r="P9" s="534"/>
      <c r="Q9" s="511"/>
    </row>
    <row r="10" spans="1:17" s="4" customFormat="1" ht="21" customHeight="1">
      <c r="A10" s="494"/>
      <c r="B10" s="6"/>
      <c r="C10" s="7">
        <v>1</v>
      </c>
      <c r="D10" s="495">
        <v>2</v>
      </c>
      <c r="E10" s="495">
        <v>9</v>
      </c>
      <c r="F10" s="495">
        <v>9</v>
      </c>
      <c r="G10" s="495">
        <v>5</v>
      </c>
      <c r="H10" s="495">
        <v>6</v>
      </c>
      <c r="I10" s="495">
        <v>7</v>
      </c>
      <c r="J10" s="495">
        <v>8</v>
      </c>
      <c r="K10" s="495">
        <v>9</v>
      </c>
      <c r="L10" s="495">
        <v>10</v>
      </c>
      <c r="M10" s="495">
        <v>11</v>
      </c>
      <c r="N10" s="495">
        <v>12</v>
      </c>
      <c r="O10" s="495">
        <v>13</v>
      </c>
      <c r="P10" s="495">
        <v>14</v>
      </c>
      <c r="Q10" s="495">
        <v>15</v>
      </c>
    </row>
    <row r="11" spans="1:17" s="16" customFormat="1" ht="33" customHeight="1" thickBot="1">
      <c r="A11" s="9" t="s">
        <v>14</v>
      </c>
      <c r="B11" s="10" t="s">
        <v>15</v>
      </c>
      <c r="C11" s="11" t="s">
        <v>16</v>
      </c>
      <c r="D11" s="12" t="s">
        <v>14</v>
      </c>
      <c r="E11" s="13">
        <f>E12+E80</f>
        <v>426113235.23999995</v>
      </c>
      <c r="F11" s="13">
        <f>F12+F80</f>
        <v>277639884.07</v>
      </c>
      <c r="G11" s="13">
        <f>F11-E11</f>
        <v>-148473351.16999996</v>
      </c>
      <c r="H11" s="14">
        <f>F11/E11</f>
        <v>0.6515636246633474</v>
      </c>
      <c r="I11" s="13">
        <f>I12+I80</f>
        <v>400280190.19</v>
      </c>
      <c r="J11" s="13">
        <f>J12+J80</f>
        <v>16636685.38</v>
      </c>
      <c r="K11" s="13">
        <f>K12+K80</f>
        <v>318068988.46999997</v>
      </c>
      <c r="L11" s="13">
        <f>K11-J11</f>
        <v>301432303.09</v>
      </c>
      <c r="M11" s="14">
        <f>K11/J11</f>
        <v>19.118531198069693</v>
      </c>
      <c r="N11" s="13">
        <f>K11-I11</f>
        <v>-82211201.72000003</v>
      </c>
      <c r="O11" s="14">
        <f>K11/I11</f>
        <v>0.7946158622514468</v>
      </c>
      <c r="P11" s="13">
        <f>K11-F11</f>
        <v>40429104.399999976</v>
      </c>
      <c r="Q11" s="15"/>
    </row>
    <row r="12" spans="1:17" s="16" customFormat="1" ht="33" customHeight="1">
      <c r="A12" s="9"/>
      <c r="B12" s="17" t="s">
        <v>17</v>
      </c>
      <c r="C12" s="18" t="s">
        <v>18</v>
      </c>
      <c r="D12" s="19"/>
      <c r="E12" s="20">
        <f>E13+E39+E40+E62+E66+E76</f>
        <v>352618682.34999996</v>
      </c>
      <c r="F12" s="20">
        <f>F13+F39+F40+F62+F66+F76</f>
        <v>226736701.70999998</v>
      </c>
      <c r="G12" s="20">
        <f>F12-E12</f>
        <v>-125881980.63999999</v>
      </c>
      <c r="H12" s="21">
        <f>F12/E12</f>
        <v>0.6430081928697899</v>
      </c>
      <c r="I12" s="20">
        <f>I13+I39+I40+I62+I66+I76</f>
        <v>309983927.63</v>
      </c>
      <c r="J12" s="20">
        <f>J13+J39+J40+J62+J66+J76</f>
        <v>14406368.9</v>
      </c>
      <c r="K12" s="20">
        <f>K13+K39+K40+K62+K66+K76</f>
        <v>222025733.41999996</v>
      </c>
      <c r="L12" s="22">
        <f>K12-J12</f>
        <v>207619364.51999995</v>
      </c>
      <c r="M12" s="21">
        <f>I12/G12</f>
        <v>-2.462496427638033</v>
      </c>
      <c r="N12" s="22">
        <f>K12-I12</f>
        <v>-87958194.21000004</v>
      </c>
      <c r="O12" s="21">
        <f>K12/I12</f>
        <v>0.7162491781993683</v>
      </c>
      <c r="P12" s="20">
        <f>K12-F12</f>
        <v>-4710968.290000021</v>
      </c>
      <c r="Q12" s="23"/>
    </row>
    <row r="13" spans="1:17" s="32" customFormat="1" ht="52.5" customHeight="1" outlineLevel="2">
      <c r="A13" s="24" t="s">
        <v>19</v>
      </c>
      <c r="B13" s="25" t="s">
        <v>20</v>
      </c>
      <c r="C13" s="26" t="s">
        <v>21</v>
      </c>
      <c r="D13" s="27" t="s">
        <v>19</v>
      </c>
      <c r="E13" s="141">
        <v>190630093.23</v>
      </c>
      <c r="F13" s="343">
        <v>128093924.71</v>
      </c>
      <c r="G13" s="145">
        <f>F13-E13</f>
        <v>-62536168.519999996</v>
      </c>
      <c r="H13" s="29">
        <f>F13/E13</f>
        <v>0.6719501760692708</v>
      </c>
      <c r="I13" s="28">
        <v>179717500</v>
      </c>
      <c r="J13" s="30">
        <v>8290000</v>
      </c>
      <c r="K13" s="141">
        <f>127124819.15+4064291.91+5804793.13</f>
        <v>136993904.19</v>
      </c>
      <c r="L13" s="28">
        <f>K13-J13</f>
        <v>128703904.19</v>
      </c>
      <c r="M13" s="29">
        <f>K13/J13</f>
        <v>16.52519954041013</v>
      </c>
      <c r="N13" s="28">
        <f>K13-I13</f>
        <v>-42723595.81</v>
      </c>
      <c r="O13" s="29">
        <f aca="true" t="shared" si="0" ref="O13:O78">K13/I13</f>
        <v>0.7622735915534102</v>
      </c>
      <c r="P13" s="28">
        <f>K13-F13</f>
        <v>8899979.480000004</v>
      </c>
      <c r="Q13" s="31" t="s">
        <v>266</v>
      </c>
    </row>
    <row r="14" spans="1:17" s="32" customFormat="1" ht="6.75" customHeight="1" outlineLevel="2">
      <c r="A14" s="24"/>
      <c r="B14" s="33"/>
      <c r="C14" s="34"/>
      <c r="D14" s="35"/>
      <c r="E14" s="42"/>
      <c r="F14" s="39"/>
      <c r="G14" s="146"/>
      <c r="H14" s="38"/>
      <c r="I14" s="36"/>
      <c r="J14" s="142"/>
      <c r="K14" s="142"/>
      <c r="L14" s="36"/>
      <c r="M14" s="38"/>
      <c r="N14" s="36"/>
      <c r="O14" s="38"/>
      <c r="P14" s="36"/>
      <c r="Q14" s="40"/>
    </row>
    <row r="15" spans="1:17" s="32" customFormat="1" ht="15.75" customHeight="1" hidden="1" outlineLevel="3">
      <c r="A15" s="24" t="s">
        <v>22</v>
      </c>
      <c r="B15" s="33"/>
      <c r="C15" s="41" t="s">
        <v>23</v>
      </c>
      <c r="D15" s="143" t="s">
        <v>22</v>
      </c>
      <c r="E15" s="51"/>
      <c r="F15" s="42"/>
      <c r="G15" s="43">
        <f aca="true" t="shared" si="1" ref="G15:G40">F15-E15</f>
        <v>0</v>
      </c>
      <c r="H15" s="44" t="e">
        <f aca="true" t="shared" si="2" ref="H15:H40">F15/E15</f>
        <v>#DIV/0!</v>
      </c>
      <c r="I15" s="42">
        <v>148555700</v>
      </c>
      <c r="J15" s="42"/>
      <c r="K15" s="42"/>
      <c r="L15" s="42"/>
      <c r="M15" s="45" t="e">
        <f aca="true" t="shared" si="3" ref="M15:M75">I15/G15</f>
        <v>#DIV/0!</v>
      </c>
      <c r="N15" s="42"/>
      <c r="O15" s="45">
        <f t="shared" si="0"/>
        <v>0</v>
      </c>
      <c r="P15" s="46">
        <f aca="true" t="shared" si="4" ref="P15:P40">K15-F15</f>
        <v>0</v>
      </c>
      <c r="Q15" s="47"/>
    </row>
    <row r="16" spans="1:17" s="32" customFormat="1" ht="210" customHeight="1" hidden="1" outlineLevel="4">
      <c r="A16" s="24" t="s">
        <v>24</v>
      </c>
      <c r="B16" s="48"/>
      <c r="C16" s="49" t="s">
        <v>25</v>
      </c>
      <c r="D16" s="144" t="s">
        <v>24</v>
      </c>
      <c r="E16" s="51"/>
      <c r="F16" s="51"/>
      <c r="G16" s="52">
        <f t="shared" si="1"/>
        <v>0</v>
      </c>
      <c r="H16" s="53" t="e">
        <f t="shared" si="2"/>
        <v>#DIV/0!</v>
      </c>
      <c r="I16" s="51">
        <v>148555700</v>
      </c>
      <c r="J16" s="51"/>
      <c r="K16" s="51"/>
      <c r="L16" s="51"/>
      <c r="M16" s="54" t="e">
        <f t="shared" si="3"/>
        <v>#DIV/0!</v>
      </c>
      <c r="N16" s="51"/>
      <c r="O16" s="54">
        <f t="shared" si="0"/>
        <v>0</v>
      </c>
      <c r="P16" s="55">
        <f t="shared" si="4"/>
        <v>0</v>
      </c>
      <c r="Q16" s="56"/>
    </row>
    <row r="17" spans="1:17" s="32" customFormat="1" ht="210" customHeight="1" hidden="1" outlineLevel="5">
      <c r="A17" s="24" t="s">
        <v>24</v>
      </c>
      <c r="B17" s="48"/>
      <c r="C17" s="49" t="s">
        <v>26</v>
      </c>
      <c r="D17" s="144" t="s">
        <v>24</v>
      </c>
      <c r="E17" s="51"/>
      <c r="F17" s="51"/>
      <c r="G17" s="52">
        <f t="shared" si="1"/>
        <v>0</v>
      </c>
      <c r="H17" s="53" t="e">
        <f t="shared" si="2"/>
        <v>#DIV/0!</v>
      </c>
      <c r="I17" s="51">
        <v>148555700</v>
      </c>
      <c r="J17" s="51"/>
      <c r="K17" s="51"/>
      <c r="L17" s="51"/>
      <c r="M17" s="54" t="e">
        <f t="shared" si="3"/>
        <v>#DIV/0!</v>
      </c>
      <c r="N17" s="51"/>
      <c r="O17" s="54">
        <f t="shared" si="0"/>
        <v>0</v>
      </c>
      <c r="P17" s="55">
        <f t="shared" si="4"/>
        <v>0</v>
      </c>
      <c r="Q17" s="56"/>
    </row>
    <row r="18" spans="1:17" s="32" customFormat="1" ht="210" customHeight="1" hidden="1" outlineLevel="5">
      <c r="A18" s="24" t="s">
        <v>27</v>
      </c>
      <c r="B18" s="48"/>
      <c r="C18" s="49" t="s">
        <v>28</v>
      </c>
      <c r="D18" s="144" t="s">
        <v>27</v>
      </c>
      <c r="E18" s="51"/>
      <c r="F18" s="51"/>
      <c r="G18" s="52">
        <f t="shared" si="1"/>
        <v>0</v>
      </c>
      <c r="H18" s="53" t="e">
        <f t="shared" si="2"/>
        <v>#DIV/0!</v>
      </c>
      <c r="I18" s="51">
        <v>0</v>
      </c>
      <c r="J18" s="51"/>
      <c r="K18" s="51"/>
      <c r="L18" s="51"/>
      <c r="M18" s="54" t="e">
        <f t="shared" si="3"/>
        <v>#DIV/0!</v>
      </c>
      <c r="N18" s="51"/>
      <c r="O18" s="54" t="e">
        <f t="shared" si="0"/>
        <v>#DIV/0!</v>
      </c>
      <c r="P18" s="55">
        <f t="shared" si="4"/>
        <v>0</v>
      </c>
      <c r="Q18" s="56"/>
    </row>
    <row r="19" spans="1:17" s="32" customFormat="1" ht="210" customHeight="1" hidden="1" outlineLevel="5">
      <c r="A19" s="24" t="s">
        <v>29</v>
      </c>
      <c r="B19" s="48"/>
      <c r="C19" s="49" t="s">
        <v>26</v>
      </c>
      <c r="D19" s="144" t="s">
        <v>29</v>
      </c>
      <c r="E19" s="51"/>
      <c r="F19" s="51"/>
      <c r="G19" s="52">
        <f t="shared" si="1"/>
        <v>0</v>
      </c>
      <c r="H19" s="53" t="e">
        <f t="shared" si="2"/>
        <v>#DIV/0!</v>
      </c>
      <c r="I19" s="51">
        <v>0</v>
      </c>
      <c r="J19" s="51"/>
      <c r="K19" s="51"/>
      <c r="L19" s="51"/>
      <c r="M19" s="54" t="e">
        <f t="shared" si="3"/>
        <v>#DIV/0!</v>
      </c>
      <c r="N19" s="51"/>
      <c r="O19" s="54" t="e">
        <f t="shared" si="0"/>
        <v>#DIV/0!</v>
      </c>
      <c r="P19" s="55">
        <f t="shared" si="4"/>
        <v>0</v>
      </c>
      <c r="Q19" s="56"/>
    </row>
    <row r="20" spans="1:17" s="32" customFormat="1" ht="210" customHeight="1" hidden="1" outlineLevel="5">
      <c r="A20" s="24" t="s">
        <v>30</v>
      </c>
      <c r="B20" s="48"/>
      <c r="C20" s="49" t="s">
        <v>26</v>
      </c>
      <c r="D20" s="144" t="s">
        <v>30</v>
      </c>
      <c r="E20" s="51"/>
      <c r="F20" s="51"/>
      <c r="G20" s="52">
        <f t="shared" si="1"/>
        <v>0</v>
      </c>
      <c r="H20" s="53" t="e">
        <f t="shared" si="2"/>
        <v>#DIV/0!</v>
      </c>
      <c r="I20" s="51">
        <v>0</v>
      </c>
      <c r="J20" s="51"/>
      <c r="K20" s="51"/>
      <c r="L20" s="51"/>
      <c r="M20" s="54" t="e">
        <f t="shared" si="3"/>
        <v>#DIV/0!</v>
      </c>
      <c r="N20" s="51"/>
      <c r="O20" s="54" t="e">
        <f t="shared" si="0"/>
        <v>#DIV/0!</v>
      </c>
      <c r="P20" s="55">
        <f t="shared" si="4"/>
        <v>0</v>
      </c>
      <c r="Q20" s="56"/>
    </row>
    <row r="21" spans="1:17" s="32" customFormat="1" ht="210" customHeight="1" hidden="1" outlineLevel="5">
      <c r="A21" s="24" t="s">
        <v>31</v>
      </c>
      <c r="B21" s="48"/>
      <c r="C21" s="49" t="s">
        <v>28</v>
      </c>
      <c r="D21" s="144" t="s">
        <v>31</v>
      </c>
      <c r="E21" s="51"/>
      <c r="F21" s="51"/>
      <c r="G21" s="52">
        <f t="shared" si="1"/>
        <v>0</v>
      </c>
      <c r="H21" s="53" t="e">
        <f t="shared" si="2"/>
        <v>#DIV/0!</v>
      </c>
      <c r="I21" s="51">
        <v>0</v>
      </c>
      <c r="J21" s="51"/>
      <c r="K21" s="51"/>
      <c r="L21" s="51"/>
      <c r="M21" s="54" t="e">
        <f t="shared" si="3"/>
        <v>#DIV/0!</v>
      </c>
      <c r="N21" s="51"/>
      <c r="O21" s="54" t="e">
        <f t="shared" si="0"/>
        <v>#DIV/0!</v>
      </c>
      <c r="P21" s="55">
        <f t="shared" si="4"/>
        <v>0</v>
      </c>
      <c r="Q21" s="56"/>
    </row>
    <row r="22" spans="1:17" s="32" customFormat="1" ht="15.75" customHeight="1" hidden="1" outlineLevel="3">
      <c r="A22" s="24" t="s">
        <v>32</v>
      </c>
      <c r="B22" s="48"/>
      <c r="C22" s="49" t="s">
        <v>23</v>
      </c>
      <c r="D22" s="144" t="s">
        <v>32</v>
      </c>
      <c r="E22" s="51"/>
      <c r="F22" s="51"/>
      <c r="G22" s="52">
        <f t="shared" si="1"/>
        <v>0</v>
      </c>
      <c r="H22" s="53" t="e">
        <f t="shared" si="2"/>
        <v>#DIV/0!</v>
      </c>
      <c r="I22" s="51">
        <v>750300</v>
      </c>
      <c r="J22" s="51"/>
      <c r="K22" s="51"/>
      <c r="L22" s="51"/>
      <c r="M22" s="54" t="e">
        <f t="shared" si="3"/>
        <v>#DIV/0!</v>
      </c>
      <c r="N22" s="51"/>
      <c r="O22" s="54">
        <f t="shared" si="0"/>
        <v>0</v>
      </c>
      <c r="P22" s="55">
        <f t="shared" si="4"/>
        <v>0</v>
      </c>
      <c r="Q22" s="56"/>
    </row>
    <row r="23" spans="1:17" s="32" customFormat="1" ht="330" customHeight="1" hidden="1" outlineLevel="4">
      <c r="A23" s="24" t="s">
        <v>33</v>
      </c>
      <c r="B23" s="48"/>
      <c r="C23" s="49" t="s">
        <v>34</v>
      </c>
      <c r="D23" s="144" t="s">
        <v>33</v>
      </c>
      <c r="E23" s="51"/>
      <c r="F23" s="51"/>
      <c r="G23" s="52">
        <f t="shared" si="1"/>
        <v>0</v>
      </c>
      <c r="H23" s="53" t="e">
        <f t="shared" si="2"/>
        <v>#DIV/0!</v>
      </c>
      <c r="I23" s="51">
        <v>750300</v>
      </c>
      <c r="J23" s="51"/>
      <c r="K23" s="51"/>
      <c r="L23" s="51"/>
      <c r="M23" s="54" t="e">
        <f t="shared" si="3"/>
        <v>#DIV/0!</v>
      </c>
      <c r="N23" s="51"/>
      <c r="O23" s="54">
        <f t="shared" si="0"/>
        <v>0</v>
      </c>
      <c r="P23" s="55">
        <f t="shared" si="4"/>
        <v>0</v>
      </c>
      <c r="Q23" s="56"/>
    </row>
    <row r="24" spans="1:17" s="32" customFormat="1" ht="330" customHeight="1" hidden="1" outlineLevel="5">
      <c r="A24" s="24" t="s">
        <v>33</v>
      </c>
      <c r="B24" s="48"/>
      <c r="C24" s="49" t="s">
        <v>35</v>
      </c>
      <c r="D24" s="144" t="s">
        <v>33</v>
      </c>
      <c r="E24" s="51"/>
      <c r="F24" s="51"/>
      <c r="G24" s="52">
        <f t="shared" si="1"/>
        <v>0</v>
      </c>
      <c r="H24" s="53" t="e">
        <f t="shared" si="2"/>
        <v>#DIV/0!</v>
      </c>
      <c r="I24" s="51">
        <v>750300</v>
      </c>
      <c r="J24" s="51"/>
      <c r="K24" s="51"/>
      <c r="L24" s="51"/>
      <c r="M24" s="54" t="e">
        <f t="shared" si="3"/>
        <v>#DIV/0!</v>
      </c>
      <c r="N24" s="51"/>
      <c r="O24" s="54">
        <f t="shared" si="0"/>
        <v>0</v>
      </c>
      <c r="P24" s="55">
        <f t="shared" si="4"/>
        <v>0</v>
      </c>
      <c r="Q24" s="56"/>
    </row>
    <row r="25" spans="1:17" s="32" customFormat="1" ht="330" customHeight="1" hidden="1" outlineLevel="5">
      <c r="A25" s="24" t="s">
        <v>36</v>
      </c>
      <c r="B25" s="48"/>
      <c r="C25" s="49" t="s">
        <v>35</v>
      </c>
      <c r="D25" s="144" t="s">
        <v>36</v>
      </c>
      <c r="E25" s="51"/>
      <c r="F25" s="51"/>
      <c r="G25" s="52">
        <f t="shared" si="1"/>
        <v>0</v>
      </c>
      <c r="H25" s="53" t="e">
        <f t="shared" si="2"/>
        <v>#DIV/0!</v>
      </c>
      <c r="I25" s="51">
        <v>0</v>
      </c>
      <c r="J25" s="51"/>
      <c r="K25" s="51"/>
      <c r="L25" s="51"/>
      <c r="M25" s="54" t="e">
        <f t="shared" si="3"/>
        <v>#DIV/0!</v>
      </c>
      <c r="N25" s="51"/>
      <c r="O25" s="54" t="e">
        <f t="shared" si="0"/>
        <v>#DIV/0!</v>
      </c>
      <c r="P25" s="55">
        <f t="shared" si="4"/>
        <v>0</v>
      </c>
      <c r="Q25" s="56"/>
    </row>
    <row r="26" spans="1:17" s="32" customFormat="1" ht="15.75" customHeight="1" hidden="1" outlineLevel="5">
      <c r="A26" s="24" t="s">
        <v>37</v>
      </c>
      <c r="B26" s="48"/>
      <c r="C26" s="49">
        <v>1.82101020200121E+19</v>
      </c>
      <c r="D26" s="144" t="s">
        <v>37</v>
      </c>
      <c r="E26" s="51"/>
      <c r="F26" s="51"/>
      <c r="G26" s="52">
        <f t="shared" si="1"/>
        <v>0</v>
      </c>
      <c r="H26" s="53" t="e">
        <f t="shared" si="2"/>
        <v>#DIV/0!</v>
      </c>
      <c r="I26" s="51">
        <v>0</v>
      </c>
      <c r="J26" s="51"/>
      <c r="K26" s="51"/>
      <c r="L26" s="51"/>
      <c r="M26" s="54" t="e">
        <f t="shared" si="3"/>
        <v>#DIV/0!</v>
      </c>
      <c r="N26" s="51"/>
      <c r="O26" s="54" t="e">
        <f t="shared" si="0"/>
        <v>#DIV/0!</v>
      </c>
      <c r="P26" s="55">
        <f t="shared" si="4"/>
        <v>0</v>
      </c>
      <c r="Q26" s="56"/>
    </row>
    <row r="27" spans="1:17" s="32" customFormat="1" ht="330" customHeight="1" hidden="1" outlineLevel="5">
      <c r="A27" s="24" t="s">
        <v>38</v>
      </c>
      <c r="B27" s="48"/>
      <c r="C27" s="49" t="s">
        <v>35</v>
      </c>
      <c r="D27" s="144" t="s">
        <v>38</v>
      </c>
      <c r="E27" s="51"/>
      <c r="F27" s="51"/>
      <c r="G27" s="52">
        <f t="shared" si="1"/>
        <v>0</v>
      </c>
      <c r="H27" s="53" t="e">
        <f t="shared" si="2"/>
        <v>#DIV/0!</v>
      </c>
      <c r="I27" s="51">
        <v>0</v>
      </c>
      <c r="J27" s="51"/>
      <c r="K27" s="51"/>
      <c r="L27" s="51"/>
      <c r="M27" s="54" t="e">
        <f t="shared" si="3"/>
        <v>#DIV/0!</v>
      </c>
      <c r="N27" s="51"/>
      <c r="O27" s="54" t="e">
        <f t="shared" si="0"/>
        <v>#DIV/0!</v>
      </c>
      <c r="P27" s="55">
        <f t="shared" si="4"/>
        <v>0</v>
      </c>
      <c r="Q27" s="56"/>
    </row>
    <row r="28" spans="1:17" s="32" customFormat="1" ht="15.75" customHeight="1" hidden="1" outlineLevel="3">
      <c r="A28" s="24" t="s">
        <v>39</v>
      </c>
      <c r="B28" s="48"/>
      <c r="C28" s="49" t="s">
        <v>23</v>
      </c>
      <c r="D28" s="144" t="s">
        <v>39</v>
      </c>
      <c r="E28" s="51"/>
      <c r="F28" s="51"/>
      <c r="G28" s="52">
        <f t="shared" si="1"/>
        <v>0</v>
      </c>
      <c r="H28" s="53" t="e">
        <f t="shared" si="2"/>
        <v>#DIV/0!</v>
      </c>
      <c r="I28" s="51">
        <v>450200</v>
      </c>
      <c r="J28" s="51"/>
      <c r="K28" s="51"/>
      <c r="L28" s="51"/>
      <c r="M28" s="54" t="e">
        <f t="shared" si="3"/>
        <v>#DIV/0!</v>
      </c>
      <c r="N28" s="51"/>
      <c r="O28" s="54">
        <f t="shared" si="0"/>
        <v>0</v>
      </c>
      <c r="P28" s="55">
        <f t="shared" si="4"/>
        <v>0</v>
      </c>
      <c r="Q28" s="56"/>
    </row>
    <row r="29" spans="1:17" s="32" customFormat="1" ht="120" customHeight="1" hidden="1" outlineLevel="4">
      <c r="A29" s="24" t="s">
        <v>40</v>
      </c>
      <c r="B29" s="48"/>
      <c r="C29" s="49" t="s">
        <v>41</v>
      </c>
      <c r="D29" s="144" t="s">
        <v>40</v>
      </c>
      <c r="E29" s="51"/>
      <c r="F29" s="51"/>
      <c r="G29" s="52">
        <f t="shared" si="1"/>
        <v>0</v>
      </c>
      <c r="H29" s="53" t="e">
        <f t="shared" si="2"/>
        <v>#DIV/0!</v>
      </c>
      <c r="I29" s="51">
        <v>450200</v>
      </c>
      <c r="J29" s="51"/>
      <c r="K29" s="51"/>
      <c r="L29" s="51"/>
      <c r="M29" s="54" t="e">
        <f t="shared" si="3"/>
        <v>#DIV/0!</v>
      </c>
      <c r="N29" s="51"/>
      <c r="O29" s="54">
        <f t="shared" si="0"/>
        <v>0</v>
      </c>
      <c r="P29" s="55">
        <f t="shared" si="4"/>
        <v>0</v>
      </c>
      <c r="Q29" s="56"/>
    </row>
    <row r="30" spans="1:17" s="32" customFormat="1" ht="120" customHeight="1" hidden="1" outlineLevel="5">
      <c r="A30" s="24" t="s">
        <v>40</v>
      </c>
      <c r="B30" s="48"/>
      <c r="C30" s="49" t="s">
        <v>42</v>
      </c>
      <c r="D30" s="144" t="s">
        <v>40</v>
      </c>
      <c r="E30" s="51"/>
      <c r="F30" s="51"/>
      <c r="G30" s="52">
        <f t="shared" si="1"/>
        <v>0</v>
      </c>
      <c r="H30" s="53" t="e">
        <f t="shared" si="2"/>
        <v>#DIV/0!</v>
      </c>
      <c r="I30" s="51">
        <v>450200</v>
      </c>
      <c r="J30" s="51"/>
      <c r="K30" s="51"/>
      <c r="L30" s="51"/>
      <c r="M30" s="54" t="e">
        <f t="shared" si="3"/>
        <v>#DIV/0!</v>
      </c>
      <c r="N30" s="51"/>
      <c r="O30" s="54">
        <f t="shared" si="0"/>
        <v>0</v>
      </c>
      <c r="P30" s="55">
        <f t="shared" si="4"/>
        <v>0</v>
      </c>
      <c r="Q30" s="56"/>
    </row>
    <row r="31" spans="1:17" s="32" customFormat="1" ht="120" customHeight="1" hidden="1" outlineLevel="5">
      <c r="A31" s="24" t="s">
        <v>43</v>
      </c>
      <c r="B31" s="48"/>
      <c r="C31" s="49" t="s">
        <v>44</v>
      </c>
      <c r="D31" s="144" t="s">
        <v>43</v>
      </c>
      <c r="E31" s="51"/>
      <c r="F31" s="51"/>
      <c r="G31" s="52">
        <f t="shared" si="1"/>
        <v>0</v>
      </c>
      <c r="H31" s="53" t="e">
        <f t="shared" si="2"/>
        <v>#DIV/0!</v>
      </c>
      <c r="I31" s="51">
        <v>0</v>
      </c>
      <c r="J31" s="51"/>
      <c r="K31" s="51"/>
      <c r="L31" s="51"/>
      <c r="M31" s="54" t="e">
        <f t="shared" si="3"/>
        <v>#DIV/0!</v>
      </c>
      <c r="N31" s="51"/>
      <c r="O31" s="54" t="e">
        <f t="shared" si="0"/>
        <v>#DIV/0!</v>
      </c>
      <c r="P31" s="55">
        <f t="shared" si="4"/>
        <v>0</v>
      </c>
      <c r="Q31" s="56"/>
    </row>
    <row r="32" spans="1:17" s="32" customFormat="1" ht="15.75" customHeight="1" hidden="1" outlineLevel="5">
      <c r="A32" s="24" t="s">
        <v>45</v>
      </c>
      <c r="B32" s="48"/>
      <c r="C32" s="49">
        <v>1.82101020300121E+19</v>
      </c>
      <c r="D32" s="144" t="s">
        <v>45</v>
      </c>
      <c r="E32" s="51"/>
      <c r="F32" s="51"/>
      <c r="G32" s="52">
        <f t="shared" si="1"/>
        <v>0</v>
      </c>
      <c r="H32" s="53" t="e">
        <f t="shared" si="2"/>
        <v>#DIV/0!</v>
      </c>
      <c r="I32" s="51">
        <v>0</v>
      </c>
      <c r="J32" s="51"/>
      <c r="K32" s="51"/>
      <c r="L32" s="51"/>
      <c r="M32" s="54" t="e">
        <f t="shared" si="3"/>
        <v>#DIV/0!</v>
      </c>
      <c r="N32" s="51"/>
      <c r="O32" s="54" t="e">
        <f t="shared" si="0"/>
        <v>#DIV/0!</v>
      </c>
      <c r="P32" s="55">
        <f t="shared" si="4"/>
        <v>0</v>
      </c>
      <c r="Q32" s="56"/>
    </row>
    <row r="33" spans="1:17" s="32" customFormat="1" ht="120" customHeight="1" hidden="1" outlineLevel="5">
      <c r="A33" s="24" t="s">
        <v>46</v>
      </c>
      <c r="B33" s="48"/>
      <c r="C33" s="49" t="s">
        <v>44</v>
      </c>
      <c r="D33" s="144" t="s">
        <v>46</v>
      </c>
      <c r="E33" s="51"/>
      <c r="F33" s="51"/>
      <c r="G33" s="52">
        <f t="shared" si="1"/>
        <v>0</v>
      </c>
      <c r="H33" s="53" t="e">
        <f t="shared" si="2"/>
        <v>#DIV/0!</v>
      </c>
      <c r="I33" s="51">
        <v>0</v>
      </c>
      <c r="J33" s="51"/>
      <c r="K33" s="51"/>
      <c r="L33" s="51"/>
      <c r="M33" s="54" t="e">
        <f t="shared" si="3"/>
        <v>#DIV/0!</v>
      </c>
      <c r="N33" s="51"/>
      <c r="O33" s="54" t="e">
        <f t="shared" si="0"/>
        <v>#DIV/0!</v>
      </c>
      <c r="P33" s="55">
        <f t="shared" si="4"/>
        <v>0</v>
      </c>
      <c r="Q33" s="56"/>
    </row>
    <row r="34" spans="1:17" s="32" customFormat="1" ht="120" customHeight="1" hidden="1" outlineLevel="5">
      <c r="A34" s="24" t="s">
        <v>47</v>
      </c>
      <c r="B34" s="48"/>
      <c r="C34" s="49" t="s">
        <v>44</v>
      </c>
      <c r="D34" s="144" t="s">
        <v>47</v>
      </c>
      <c r="E34" s="51"/>
      <c r="F34" s="51"/>
      <c r="G34" s="52">
        <f t="shared" si="1"/>
        <v>0</v>
      </c>
      <c r="H34" s="53" t="e">
        <f t="shared" si="2"/>
        <v>#DIV/0!</v>
      </c>
      <c r="I34" s="51">
        <v>0</v>
      </c>
      <c r="J34" s="51"/>
      <c r="K34" s="51"/>
      <c r="L34" s="51"/>
      <c r="M34" s="54" t="e">
        <f t="shared" si="3"/>
        <v>#DIV/0!</v>
      </c>
      <c r="N34" s="51"/>
      <c r="O34" s="54" t="e">
        <f t="shared" si="0"/>
        <v>#DIV/0!</v>
      </c>
      <c r="P34" s="55">
        <f t="shared" si="4"/>
        <v>0</v>
      </c>
      <c r="Q34" s="56"/>
    </row>
    <row r="35" spans="1:17" s="32" customFormat="1" ht="15.75" customHeight="1" hidden="1" outlineLevel="3">
      <c r="A35" s="24" t="s">
        <v>48</v>
      </c>
      <c r="B35" s="48"/>
      <c r="C35" s="49" t="s">
        <v>23</v>
      </c>
      <c r="D35" s="144" t="s">
        <v>48</v>
      </c>
      <c r="E35" s="51"/>
      <c r="F35" s="51"/>
      <c r="G35" s="52">
        <f t="shared" si="1"/>
        <v>0</v>
      </c>
      <c r="H35" s="53" t="e">
        <f t="shared" si="2"/>
        <v>#DIV/0!</v>
      </c>
      <c r="I35" s="51">
        <v>300100</v>
      </c>
      <c r="J35" s="51"/>
      <c r="K35" s="51"/>
      <c r="L35" s="51"/>
      <c r="M35" s="54" t="e">
        <f t="shared" si="3"/>
        <v>#DIV/0!</v>
      </c>
      <c r="N35" s="51"/>
      <c r="O35" s="54">
        <f t="shared" si="0"/>
        <v>0</v>
      </c>
      <c r="P35" s="55">
        <f t="shared" si="4"/>
        <v>0</v>
      </c>
      <c r="Q35" s="56"/>
    </row>
    <row r="36" spans="1:17" s="32" customFormat="1" ht="270" customHeight="1" hidden="1" outlineLevel="4">
      <c r="A36" s="24" t="s">
        <v>49</v>
      </c>
      <c r="B36" s="48"/>
      <c r="C36" s="49" t="s">
        <v>50</v>
      </c>
      <c r="D36" s="144" t="s">
        <v>49</v>
      </c>
      <c r="E36" s="51"/>
      <c r="F36" s="51"/>
      <c r="G36" s="52">
        <f t="shared" si="1"/>
        <v>0</v>
      </c>
      <c r="H36" s="53" t="e">
        <f t="shared" si="2"/>
        <v>#DIV/0!</v>
      </c>
      <c r="I36" s="51">
        <v>300100</v>
      </c>
      <c r="J36" s="51"/>
      <c r="K36" s="51"/>
      <c r="L36" s="51"/>
      <c r="M36" s="54" t="e">
        <f t="shared" si="3"/>
        <v>#DIV/0!</v>
      </c>
      <c r="N36" s="51"/>
      <c r="O36" s="54">
        <f t="shared" si="0"/>
        <v>0</v>
      </c>
      <c r="P36" s="55">
        <f t="shared" si="4"/>
        <v>0</v>
      </c>
      <c r="Q36" s="56"/>
    </row>
    <row r="37" spans="1:17" s="32" customFormat="1" ht="270" customHeight="1" hidden="1" outlineLevel="5">
      <c r="A37" s="24" t="s">
        <v>49</v>
      </c>
      <c r="B37" s="48"/>
      <c r="C37" s="49" t="s">
        <v>51</v>
      </c>
      <c r="D37" s="144" t="s">
        <v>49</v>
      </c>
      <c r="E37" s="51"/>
      <c r="F37" s="51"/>
      <c r="G37" s="52">
        <f t="shared" si="1"/>
        <v>0</v>
      </c>
      <c r="H37" s="53" t="e">
        <f t="shared" si="2"/>
        <v>#DIV/0!</v>
      </c>
      <c r="I37" s="51">
        <v>300100</v>
      </c>
      <c r="J37" s="51"/>
      <c r="K37" s="51"/>
      <c r="L37" s="51"/>
      <c r="M37" s="54" t="e">
        <f t="shared" si="3"/>
        <v>#DIV/0!</v>
      </c>
      <c r="N37" s="51"/>
      <c r="O37" s="54">
        <f t="shared" si="0"/>
        <v>0</v>
      </c>
      <c r="P37" s="55">
        <f t="shared" si="4"/>
        <v>0</v>
      </c>
      <c r="Q37" s="56"/>
    </row>
    <row r="38" spans="1:17" s="32" customFormat="1" ht="409.5" customHeight="1" hidden="1" outlineLevel="5">
      <c r="A38" s="24" t="s">
        <v>52</v>
      </c>
      <c r="B38" s="48"/>
      <c r="C38" s="49" t="s">
        <v>53</v>
      </c>
      <c r="D38" s="144" t="s">
        <v>52</v>
      </c>
      <c r="E38" s="51">
        <v>8650982.19</v>
      </c>
      <c r="F38" s="51"/>
      <c r="G38" s="52">
        <f t="shared" si="1"/>
        <v>-8650982.19</v>
      </c>
      <c r="H38" s="53">
        <f t="shared" si="2"/>
        <v>0</v>
      </c>
      <c r="I38" s="51">
        <v>0</v>
      </c>
      <c r="J38" s="51"/>
      <c r="K38" s="51"/>
      <c r="L38" s="51"/>
      <c r="M38" s="54">
        <f t="shared" si="3"/>
        <v>0</v>
      </c>
      <c r="N38" s="51"/>
      <c r="O38" s="54" t="e">
        <f t="shared" si="0"/>
        <v>#DIV/0!</v>
      </c>
      <c r="P38" s="55">
        <f t="shared" si="4"/>
        <v>0</v>
      </c>
      <c r="Q38" s="56"/>
    </row>
    <row r="39" spans="1:17" s="32" customFormat="1" ht="57.75" customHeight="1" outlineLevel="2" collapsed="1">
      <c r="A39" s="24" t="s">
        <v>54</v>
      </c>
      <c r="B39" s="48" t="s">
        <v>55</v>
      </c>
      <c r="C39" s="49" t="s">
        <v>56</v>
      </c>
      <c r="D39" s="144" t="s">
        <v>54</v>
      </c>
      <c r="E39" s="51">
        <v>10254357.32</v>
      </c>
      <c r="F39" s="51">
        <v>7644276.5</v>
      </c>
      <c r="G39" s="52">
        <f t="shared" si="1"/>
        <v>-2610080.8200000003</v>
      </c>
      <c r="H39" s="53">
        <f t="shared" si="2"/>
        <v>0.7454661722281392</v>
      </c>
      <c r="I39" s="51">
        <v>9197170</v>
      </c>
      <c r="J39" s="51">
        <v>676056.9</v>
      </c>
      <c r="K39" s="51">
        <f>6848460.05+28652.96+867777.75</f>
        <v>7744890.76</v>
      </c>
      <c r="L39" s="28">
        <f>K39-J39</f>
        <v>7068833.859999999</v>
      </c>
      <c r="M39" s="54">
        <f t="shared" si="3"/>
        <v>-3.5237108098438115</v>
      </c>
      <c r="N39" s="51">
        <f>K39-I39</f>
        <v>-1452279.2400000002</v>
      </c>
      <c r="O39" s="54">
        <f t="shared" si="0"/>
        <v>0.8420949879147607</v>
      </c>
      <c r="P39" s="55">
        <f t="shared" si="4"/>
        <v>100614.25999999978</v>
      </c>
      <c r="Q39" s="149" t="s">
        <v>267</v>
      </c>
    </row>
    <row r="40" spans="1:17" s="32" customFormat="1" ht="58.5" customHeight="1" outlineLevel="1">
      <c r="A40" s="24" t="s">
        <v>57</v>
      </c>
      <c r="B40" s="48" t="s">
        <v>58</v>
      </c>
      <c r="C40" s="49" t="s">
        <v>59</v>
      </c>
      <c r="D40" s="144" t="s">
        <v>57</v>
      </c>
      <c r="E40" s="58">
        <f>E41+E42+E52+E56</f>
        <v>45903932.26</v>
      </c>
      <c r="F40" s="51">
        <f>F41+F42+F52+F56</f>
        <v>31988790.310000002</v>
      </c>
      <c r="G40" s="52">
        <f t="shared" si="1"/>
        <v>-13915141.949999996</v>
      </c>
      <c r="H40" s="53">
        <f t="shared" si="2"/>
        <v>0.6968638357344945</v>
      </c>
      <c r="I40" s="51">
        <f>I41+I42+I52+I56</f>
        <v>44278800</v>
      </c>
      <c r="J40" s="51">
        <f>J41+J42+J52+J56</f>
        <v>1291804</v>
      </c>
      <c r="K40" s="51">
        <f>K41+K42+K52+K56</f>
        <v>33298355.479999997</v>
      </c>
      <c r="L40" s="28">
        <f>K40-J40</f>
        <v>32006551.479999997</v>
      </c>
      <c r="M40" s="54">
        <f t="shared" si="3"/>
        <v>-3.182058807528012</v>
      </c>
      <c r="N40" s="51">
        <f>N41+N42+N52+N56</f>
        <v>-10980444.520000003</v>
      </c>
      <c r="O40" s="54">
        <f t="shared" si="0"/>
        <v>0.7520157610414012</v>
      </c>
      <c r="P40" s="55">
        <f t="shared" si="4"/>
        <v>1309565.1699999943</v>
      </c>
      <c r="Q40" s="149" t="s">
        <v>267</v>
      </c>
    </row>
    <row r="41" spans="1:17" s="32" customFormat="1" ht="41.25" customHeight="1" outlineLevel="1">
      <c r="A41" s="24"/>
      <c r="B41" s="48" t="s">
        <v>60</v>
      </c>
      <c r="C41" s="59" t="s">
        <v>61</v>
      </c>
      <c r="D41" s="60" t="s">
        <v>62</v>
      </c>
      <c r="E41" s="61">
        <v>33191065.25</v>
      </c>
      <c r="F41" s="61">
        <v>24103788.67</v>
      </c>
      <c r="G41" s="62">
        <f>F41-E41</f>
        <v>-9087276.579999998</v>
      </c>
      <c r="H41" s="63"/>
      <c r="I41" s="61">
        <v>31715800</v>
      </c>
      <c r="J41" s="61">
        <v>728906</v>
      </c>
      <c r="K41" s="61">
        <f>29130090.4+26866.29+14959.86</f>
        <v>29171916.549999997</v>
      </c>
      <c r="L41" s="61">
        <f>K41-J41</f>
        <v>28443010.549999997</v>
      </c>
      <c r="M41" s="63">
        <f t="shared" si="3"/>
        <v>-3.49013257391138</v>
      </c>
      <c r="N41" s="61">
        <f>K41-I41</f>
        <v>-2543883.450000003</v>
      </c>
      <c r="O41" s="63">
        <f t="shared" si="0"/>
        <v>0.9197912885691043</v>
      </c>
      <c r="P41" s="61">
        <f>K41-F41</f>
        <v>5068127.879999995</v>
      </c>
      <c r="Q41" s="57"/>
    </row>
    <row r="42" spans="1:17" ht="28.5" outlineLevel="2">
      <c r="A42" s="64" t="s">
        <v>63</v>
      </c>
      <c r="B42" s="65" t="s">
        <v>64</v>
      </c>
      <c r="C42" s="59" t="s">
        <v>65</v>
      </c>
      <c r="D42" s="60" t="s">
        <v>63</v>
      </c>
      <c r="E42" s="61">
        <v>108221.73</v>
      </c>
      <c r="F42" s="61">
        <v>86704.62</v>
      </c>
      <c r="G42" s="62">
        <f>F42-E42</f>
        <v>-21517.11</v>
      </c>
      <c r="H42" s="63">
        <f>F42/E42</f>
        <v>0.8011756973391573</v>
      </c>
      <c r="I42" s="61"/>
      <c r="J42" s="61"/>
      <c r="K42" s="61">
        <f>-202199.94+8392.54</f>
        <v>-193807.4</v>
      </c>
      <c r="L42" s="61">
        <f aca="true" t="shared" si="5" ref="L42:L56">K42-J42</f>
        <v>-193807.4</v>
      </c>
      <c r="M42" s="63">
        <f t="shared" si="3"/>
        <v>0</v>
      </c>
      <c r="N42" s="61">
        <f>K42-I42</f>
        <v>-193807.4</v>
      </c>
      <c r="O42" s="63"/>
      <c r="P42" s="61">
        <f>K42-F42</f>
        <v>-280512.02</v>
      </c>
      <c r="Q42" s="66" t="s">
        <v>263</v>
      </c>
    </row>
    <row r="43" spans="1:17" ht="15" customHeight="1" hidden="1" outlineLevel="3">
      <c r="A43" s="64" t="s">
        <v>66</v>
      </c>
      <c r="B43" s="65"/>
      <c r="C43" s="59" t="s">
        <v>23</v>
      </c>
      <c r="D43" s="60" t="s">
        <v>66</v>
      </c>
      <c r="E43" s="61"/>
      <c r="F43" s="61"/>
      <c r="G43" s="62">
        <f aca="true" t="shared" si="6" ref="G43:G56">F43-E43</f>
        <v>0</v>
      </c>
      <c r="H43" s="63" t="e">
        <f aca="true" t="shared" si="7" ref="H43:H56">F43/E43</f>
        <v>#DIV/0!</v>
      </c>
      <c r="I43" s="61">
        <v>57591300</v>
      </c>
      <c r="J43" s="61"/>
      <c r="K43" s="61"/>
      <c r="L43" s="61">
        <f t="shared" si="5"/>
        <v>0</v>
      </c>
      <c r="M43" s="63" t="e">
        <f t="shared" si="3"/>
        <v>#DIV/0!</v>
      </c>
      <c r="N43" s="61">
        <f aca="true" t="shared" si="8" ref="N43:N56">K43-I43</f>
        <v>-57591300</v>
      </c>
      <c r="O43" s="63">
        <f t="shared" si="0"/>
        <v>0</v>
      </c>
      <c r="P43" s="61">
        <f aca="true" t="shared" si="9" ref="P43:P56">K43-F43</f>
        <v>0</v>
      </c>
      <c r="Q43" s="67"/>
    </row>
    <row r="44" spans="1:17" ht="57" customHeight="1" hidden="1" outlineLevel="4">
      <c r="A44" s="64" t="s">
        <v>67</v>
      </c>
      <c r="B44" s="65"/>
      <c r="C44" s="59" t="s">
        <v>68</v>
      </c>
      <c r="D44" s="60" t="s">
        <v>67</v>
      </c>
      <c r="E44" s="61"/>
      <c r="F44" s="61"/>
      <c r="G44" s="62">
        <f t="shared" si="6"/>
        <v>0</v>
      </c>
      <c r="H44" s="63" t="e">
        <f t="shared" si="7"/>
        <v>#DIV/0!</v>
      </c>
      <c r="I44" s="61">
        <v>57591300</v>
      </c>
      <c r="J44" s="61"/>
      <c r="K44" s="61"/>
      <c r="L44" s="61">
        <f t="shared" si="5"/>
        <v>0</v>
      </c>
      <c r="M44" s="63" t="e">
        <f t="shared" si="3"/>
        <v>#DIV/0!</v>
      </c>
      <c r="N44" s="61">
        <f t="shared" si="8"/>
        <v>-57591300</v>
      </c>
      <c r="O44" s="63">
        <f t="shared" si="0"/>
        <v>0</v>
      </c>
      <c r="P44" s="61">
        <f t="shared" si="9"/>
        <v>0</v>
      </c>
      <c r="Q44" s="67"/>
    </row>
    <row r="45" spans="1:17" ht="57" customHeight="1" hidden="1" outlineLevel="5">
      <c r="A45" s="64" t="s">
        <v>67</v>
      </c>
      <c r="B45" s="65"/>
      <c r="C45" s="59" t="s">
        <v>69</v>
      </c>
      <c r="D45" s="60" t="s">
        <v>67</v>
      </c>
      <c r="E45" s="61"/>
      <c r="F45" s="61"/>
      <c r="G45" s="62">
        <f t="shared" si="6"/>
        <v>0</v>
      </c>
      <c r="H45" s="63" t="e">
        <f t="shared" si="7"/>
        <v>#DIV/0!</v>
      </c>
      <c r="I45" s="61">
        <v>57591300</v>
      </c>
      <c r="J45" s="61"/>
      <c r="K45" s="61"/>
      <c r="L45" s="61">
        <f t="shared" si="5"/>
        <v>0</v>
      </c>
      <c r="M45" s="63" t="e">
        <f t="shared" si="3"/>
        <v>#DIV/0!</v>
      </c>
      <c r="N45" s="61">
        <f t="shared" si="8"/>
        <v>-57591300</v>
      </c>
      <c r="O45" s="63">
        <f t="shared" si="0"/>
        <v>0</v>
      </c>
      <c r="P45" s="61">
        <f t="shared" si="9"/>
        <v>0</v>
      </c>
      <c r="Q45" s="67"/>
    </row>
    <row r="46" spans="1:17" ht="57" customHeight="1" hidden="1" outlineLevel="5">
      <c r="A46" s="64" t="s">
        <v>70</v>
      </c>
      <c r="B46" s="65"/>
      <c r="C46" s="59" t="s">
        <v>69</v>
      </c>
      <c r="D46" s="60" t="s">
        <v>70</v>
      </c>
      <c r="E46" s="61"/>
      <c r="F46" s="61"/>
      <c r="G46" s="62">
        <f t="shared" si="6"/>
        <v>0</v>
      </c>
      <c r="H46" s="63" t="e">
        <f t="shared" si="7"/>
        <v>#DIV/0!</v>
      </c>
      <c r="I46" s="61">
        <v>0</v>
      </c>
      <c r="J46" s="61"/>
      <c r="K46" s="61"/>
      <c r="L46" s="61">
        <f t="shared" si="5"/>
        <v>0</v>
      </c>
      <c r="M46" s="63" t="e">
        <f t="shared" si="3"/>
        <v>#DIV/0!</v>
      </c>
      <c r="N46" s="61">
        <f t="shared" si="8"/>
        <v>0</v>
      </c>
      <c r="O46" s="63" t="e">
        <f t="shared" si="0"/>
        <v>#DIV/0!</v>
      </c>
      <c r="P46" s="61">
        <f t="shared" si="9"/>
        <v>0</v>
      </c>
      <c r="Q46" s="67"/>
    </row>
    <row r="47" spans="1:17" ht="57" customHeight="1" hidden="1" outlineLevel="5">
      <c r="A47" s="64" t="s">
        <v>71</v>
      </c>
      <c r="B47" s="65"/>
      <c r="C47" s="59" t="s">
        <v>69</v>
      </c>
      <c r="D47" s="60" t="s">
        <v>71</v>
      </c>
      <c r="E47" s="61"/>
      <c r="F47" s="61"/>
      <c r="G47" s="62">
        <f t="shared" si="6"/>
        <v>0</v>
      </c>
      <c r="H47" s="63" t="e">
        <f t="shared" si="7"/>
        <v>#DIV/0!</v>
      </c>
      <c r="I47" s="61">
        <v>0</v>
      </c>
      <c r="J47" s="61"/>
      <c r="K47" s="61"/>
      <c r="L47" s="61">
        <f t="shared" si="5"/>
        <v>0</v>
      </c>
      <c r="M47" s="63" t="e">
        <f t="shared" si="3"/>
        <v>#DIV/0!</v>
      </c>
      <c r="N47" s="61">
        <f t="shared" si="8"/>
        <v>0</v>
      </c>
      <c r="O47" s="63" t="e">
        <f t="shared" si="0"/>
        <v>#DIV/0!</v>
      </c>
      <c r="P47" s="61">
        <f t="shared" si="9"/>
        <v>0</v>
      </c>
      <c r="Q47" s="67"/>
    </row>
    <row r="48" spans="1:17" ht="57" customHeight="1" hidden="1" outlineLevel="5">
      <c r="A48" s="64" t="s">
        <v>72</v>
      </c>
      <c r="B48" s="65"/>
      <c r="C48" s="59" t="s">
        <v>69</v>
      </c>
      <c r="D48" s="60" t="s">
        <v>72</v>
      </c>
      <c r="E48" s="61"/>
      <c r="F48" s="61"/>
      <c r="G48" s="62">
        <f t="shared" si="6"/>
        <v>0</v>
      </c>
      <c r="H48" s="63" t="e">
        <f t="shared" si="7"/>
        <v>#DIV/0!</v>
      </c>
      <c r="I48" s="61">
        <v>0</v>
      </c>
      <c r="J48" s="61"/>
      <c r="K48" s="61"/>
      <c r="L48" s="61">
        <f t="shared" si="5"/>
        <v>0</v>
      </c>
      <c r="M48" s="63" t="e">
        <f t="shared" si="3"/>
        <v>#DIV/0!</v>
      </c>
      <c r="N48" s="61">
        <f t="shared" si="8"/>
        <v>0</v>
      </c>
      <c r="O48" s="63" t="e">
        <f t="shared" si="0"/>
        <v>#DIV/0!</v>
      </c>
      <c r="P48" s="61">
        <f t="shared" si="9"/>
        <v>0</v>
      </c>
      <c r="Q48" s="67"/>
    </row>
    <row r="49" spans="1:17" ht="15" customHeight="1" hidden="1" outlineLevel="3">
      <c r="A49" s="64" t="s">
        <v>73</v>
      </c>
      <c r="B49" s="65"/>
      <c r="C49" s="59" t="s">
        <v>23</v>
      </c>
      <c r="D49" s="60" t="s">
        <v>73</v>
      </c>
      <c r="E49" s="61"/>
      <c r="F49" s="61"/>
      <c r="G49" s="62">
        <f t="shared" si="6"/>
        <v>0</v>
      </c>
      <c r="H49" s="63" t="e">
        <f t="shared" si="7"/>
        <v>#DIV/0!</v>
      </c>
      <c r="I49" s="61">
        <v>0</v>
      </c>
      <c r="J49" s="61"/>
      <c r="K49" s="61"/>
      <c r="L49" s="61">
        <f t="shared" si="5"/>
        <v>0</v>
      </c>
      <c r="M49" s="63" t="e">
        <f t="shared" si="3"/>
        <v>#DIV/0!</v>
      </c>
      <c r="N49" s="61">
        <f t="shared" si="8"/>
        <v>0</v>
      </c>
      <c r="O49" s="63" t="e">
        <f t="shared" si="0"/>
        <v>#DIV/0!</v>
      </c>
      <c r="P49" s="61">
        <f t="shared" si="9"/>
        <v>0</v>
      </c>
      <c r="Q49" s="67"/>
    </row>
    <row r="50" spans="1:17" ht="99.75" customHeight="1" hidden="1" outlineLevel="4">
      <c r="A50" s="64" t="s">
        <v>74</v>
      </c>
      <c r="B50" s="65"/>
      <c r="C50" s="59" t="s">
        <v>75</v>
      </c>
      <c r="D50" s="60" t="s">
        <v>74</v>
      </c>
      <c r="E50" s="61"/>
      <c r="F50" s="61"/>
      <c r="G50" s="62">
        <f t="shared" si="6"/>
        <v>0</v>
      </c>
      <c r="H50" s="63" t="e">
        <f t="shared" si="7"/>
        <v>#DIV/0!</v>
      </c>
      <c r="I50" s="61">
        <v>0</v>
      </c>
      <c r="J50" s="61"/>
      <c r="K50" s="61"/>
      <c r="L50" s="61">
        <f t="shared" si="5"/>
        <v>0</v>
      </c>
      <c r="M50" s="63" t="e">
        <f t="shared" si="3"/>
        <v>#DIV/0!</v>
      </c>
      <c r="N50" s="61">
        <f t="shared" si="8"/>
        <v>0</v>
      </c>
      <c r="O50" s="63" t="e">
        <f t="shared" si="0"/>
        <v>#DIV/0!</v>
      </c>
      <c r="P50" s="61">
        <f t="shared" si="9"/>
        <v>0</v>
      </c>
      <c r="Q50" s="67"/>
    </row>
    <row r="51" spans="1:17" ht="99.75" customHeight="1" hidden="1" outlineLevel="5">
      <c r="A51" s="64" t="s">
        <v>76</v>
      </c>
      <c r="B51" s="65"/>
      <c r="C51" s="59" t="s">
        <v>77</v>
      </c>
      <c r="D51" s="60" t="s">
        <v>76</v>
      </c>
      <c r="E51" s="61"/>
      <c r="F51" s="61"/>
      <c r="G51" s="62">
        <f t="shared" si="6"/>
        <v>0</v>
      </c>
      <c r="H51" s="63" t="e">
        <f t="shared" si="7"/>
        <v>#DIV/0!</v>
      </c>
      <c r="I51" s="61">
        <v>0</v>
      </c>
      <c r="J51" s="61"/>
      <c r="K51" s="61"/>
      <c r="L51" s="61">
        <f t="shared" si="5"/>
        <v>0</v>
      </c>
      <c r="M51" s="63" t="e">
        <f t="shared" si="3"/>
        <v>#DIV/0!</v>
      </c>
      <c r="N51" s="61">
        <f t="shared" si="8"/>
        <v>0</v>
      </c>
      <c r="O51" s="63" t="e">
        <f t="shared" si="0"/>
        <v>#DIV/0!</v>
      </c>
      <c r="P51" s="61">
        <f t="shared" si="9"/>
        <v>0</v>
      </c>
      <c r="Q51" s="67"/>
    </row>
    <row r="52" spans="1:17" ht="18.75" customHeight="1" outlineLevel="2" collapsed="1">
      <c r="A52" s="64" t="s">
        <v>78</v>
      </c>
      <c r="B52" s="65" t="s">
        <v>79</v>
      </c>
      <c r="C52" s="59" t="s">
        <v>80</v>
      </c>
      <c r="D52" s="60" t="s">
        <v>78</v>
      </c>
      <c r="E52" s="62">
        <v>63052.38</v>
      </c>
      <c r="F52" s="62">
        <v>63051.9</v>
      </c>
      <c r="G52" s="62">
        <f t="shared" si="6"/>
        <v>-0.47999999999592546</v>
      </c>
      <c r="H52" s="63">
        <f t="shared" si="7"/>
        <v>0.9999923872818124</v>
      </c>
      <c r="I52" s="61">
        <v>63000</v>
      </c>
      <c r="J52" s="61"/>
      <c r="K52" s="62">
        <v>296614.88</v>
      </c>
      <c r="L52" s="61">
        <f t="shared" si="5"/>
        <v>296614.88</v>
      </c>
      <c r="M52" s="63">
        <f t="shared" si="3"/>
        <v>-131250.00000111412</v>
      </c>
      <c r="N52" s="61">
        <f t="shared" si="8"/>
        <v>233614.88</v>
      </c>
      <c r="O52" s="63">
        <f t="shared" si="0"/>
        <v>4.708172698412699</v>
      </c>
      <c r="P52" s="61">
        <f t="shared" si="9"/>
        <v>233562.98</v>
      </c>
      <c r="Q52" s="67"/>
    </row>
    <row r="53" spans="1:17" ht="15" customHeight="1" hidden="1" outlineLevel="3">
      <c r="A53" s="64" t="s">
        <v>81</v>
      </c>
      <c r="B53" s="65"/>
      <c r="C53" s="59" t="s">
        <v>23</v>
      </c>
      <c r="D53" s="60" t="s">
        <v>81</v>
      </c>
      <c r="E53" s="61"/>
      <c r="F53" s="61"/>
      <c r="G53" s="62">
        <f t="shared" si="6"/>
        <v>0</v>
      </c>
      <c r="H53" s="63" t="e">
        <f t="shared" si="7"/>
        <v>#DIV/0!</v>
      </c>
      <c r="I53" s="61"/>
      <c r="J53" s="61"/>
      <c r="K53" s="61"/>
      <c r="L53" s="61">
        <f t="shared" si="5"/>
        <v>0</v>
      </c>
      <c r="M53" s="63" t="e">
        <f t="shared" si="3"/>
        <v>#DIV/0!</v>
      </c>
      <c r="N53" s="61">
        <f t="shared" si="8"/>
        <v>0</v>
      </c>
      <c r="O53" s="63" t="e">
        <f t="shared" si="0"/>
        <v>#DIV/0!</v>
      </c>
      <c r="P53" s="61">
        <f t="shared" si="9"/>
        <v>0</v>
      </c>
      <c r="Q53" s="68"/>
    </row>
    <row r="54" spans="1:17" ht="42.75" customHeight="1" hidden="1" outlineLevel="4">
      <c r="A54" s="64" t="s">
        <v>82</v>
      </c>
      <c r="B54" s="65"/>
      <c r="C54" s="59" t="s">
        <v>83</v>
      </c>
      <c r="D54" s="60" t="s">
        <v>82</v>
      </c>
      <c r="E54" s="61"/>
      <c r="F54" s="61"/>
      <c r="G54" s="62">
        <f t="shared" si="6"/>
        <v>0</v>
      </c>
      <c r="H54" s="63" t="e">
        <f t="shared" si="7"/>
        <v>#DIV/0!</v>
      </c>
      <c r="I54" s="61"/>
      <c r="J54" s="61"/>
      <c r="K54" s="61"/>
      <c r="L54" s="61">
        <f t="shared" si="5"/>
        <v>0</v>
      </c>
      <c r="M54" s="63" t="e">
        <f t="shared" si="3"/>
        <v>#DIV/0!</v>
      </c>
      <c r="N54" s="61">
        <f t="shared" si="8"/>
        <v>0</v>
      </c>
      <c r="O54" s="63" t="e">
        <f t="shared" si="0"/>
        <v>#DIV/0!</v>
      </c>
      <c r="P54" s="61">
        <f t="shared" si="9"/>
        <v>0</v>
      </c>
      <c r="Q54" s="68"/>
    </row>
    <row r="55" spans="1:17" ht="42.75" customHeight="1" hidden="1" outlineLevel="5">
      <c r="A55" s="64" t="s">
        <v>82</v>
      </c>
      <c r="B55" s="65"/>
      <c r="C55" s="59" t="s">
        <v>84</v>
      </c>
      <c r="D55" s="60" t="s">
        <v>82</v>
      </c>
      <c r="E55" s="61"/>
      <c r="F55" s="61"/>
      <c r="G55" s="62">
        <f t="shared" si="6"/>
        <v>0</v>
      </c>
      <c r="H55" s="63" t="e">
        <f t="shared" si="7"/>
        <v>#DIV/0!</v>
      </c>
      <c r="I55" s="61"/>
      <c r="J55" s="61"/>
      <c r="K55" s="61"/>
      <c r="L55" s="61">
        <f t="shared" si="5"/>
        <v>0</v>
      </c>
      <c r="M55" s="63" t="e">
        <f t="shared" si="3"/>
        <v>#DIV/0!</v>
      </c>
      <c r="N55" s="61">
        <f t="shared" si="8"/>
        <v>0</v>
      </c>
      <c r="O55" s="63" t="e">
        <f t="shared" si="0"/>
        <v>#DIV/0!</v>
      </c>
      <c r="P55" s="61">
        <f t="shared" si="9"/>
        <v>0</v>
      </c>
      <c r="Q55" s="68"/>
    </row>
    <row r="56" spans="1:17" ht="30" customHeight="1" outlineLevel="2" collapsed="1">
      <c r="A56" s="64" t="s">
        <v>85</v>
      </c>
      <c r="B56" s="65" t="s">
        <v>86</v>
      </c>
      <c r="C56" s="59" t="s">
        <v>87</v>
      </c>
      <c r="D56" s="60" t="s">
        <v>85</v>
      </c>
      <c r="E56" s="61">
        <v>12541592.9</v>
      </c>
      <c r="F56" s="61">
        <v>7735245.12</v>
      </c>
      <c r="G56" s="62">
        <f t="shared" si="6"/>
        <v>-4806347.78</v>
      </c>
      <c r="H56" s="63">
        <f t="shared" si="7"/>
        <v>0.6167673581559165</v>
      </c>
      <c r="I56" s="61">
        <v>12500000</v>
      </c>
      <c r="J56" s="61">
        <v>562898</v>
      </c>
      <c r="K56" s="61">
        <f>3957250.21-8158+74539.24</f>
        <v>4023631.45</v>
      </c>
      <c r="L56" s="61">
        <f t="shared" si="5"/>
        <v>3460733.45</v>
      </c>
      <c r="M56" s="63">
        <f t="shared" si="3"/>
        <v>-2.6007273239807045</v>
      </c>
      <c r="N56" s="61">
        <f t="shared" si="8"/>
        <v>-8476368.55</v>
      </c>
      <c r="O56" s="63">
        <f t="shared" si="0"/>
        <v>0.321890516</v>
      </c>
      <c r="P56" s="61">
        <f t="shared" si="9"/>
        <v>-3711613.67</v>
      </c>
      <c r="Q56" s="66"/>
    </row>
    <row r="57" spans="1:17" ht="15" customHeight="1" hidden="1" outlineLevel="3">
      <c r="A57" s="64" t="s">
        <v>88</v>
      </c>
      <c r="B57" s="65"/>
      <c r="C57" s="59" t="s">
        <v>23</v>
      </c>
      <c r="D57" s="60" t="s">
        <v>88</v>
      </c>
      <c r="E57" s="61">
        <v>401120</v>
      </c>
      <c r="F57" s="61">
        <v>401120</v>
      </c>
      <c r="G57" s="62"/>
      <c r="H57" s="63" t="e">
        <f>E57/#REF!</f>
        <v>#REF!</v>
      </c>
      <c r="I57" s="61">
        <v>8300000</v>
      </c>
      <c r="J57" s="61"/>
      <c r="K57" s="61">
        <v>401120</v>
      </c>
      <c r="L57" s="61"/>
      <c r="M57" s="63" t="e">
        <f t="shared" si="3"/>
        <v>#DIV/0!</v>
      </c>
      <c r="N57" s="61"/>
      <c r="O57" s="63">
        <f t="shared" si="0"/>
        <v>0.04832771084337349</v>
      </c>
      <c r="P57" s="61" t="e">
        <f>E57-#REF!</f>
        <v>#REF!</v>
      </c>
      <c r="Q57" s="68"/>
    </row>
    <row r="58" spans="1:17" ht="85.5" customHeight="1" hidden="1" outlineLevel="4">
      <c r="A58" s="64" t="s">
        <v>89</v>
      </c>
      <c r="B58" s="65"/>
      <c r="C58" s="59" t="s">
        <v>90</v>
      </c>
      <c r="D58" s="60" t="s">
        <v>89</v>
      </c>
      <c r="E58" s="61">
        <v>0</v>
      </c>
      <c r="F58" s="61">
        <v>401120</v>
      </c>
      <c r="G58" s="62"/>
      <c r="H58" s="63" t="e">
        <f>E58/#REF!</f>
        <v>#REF!</v>
      </c>
      <c r="I58" s="61">
        <v>8300000</v>
      </c>
      <c r="J58" s="61"/>
      <c r="K58" s="61">
        <v>401120</v>
      </c>
      <c r="L58" s="61"/>
      <c r="M58" s="63" t="e">
        <f t="shared" si="3"/>
        <v>#DIV/0!</v>
      </c>
      <c r="N58" s="61"/>
      <c r="O58" s="63">
        <f t="shared" si="0"/>
        <v>0.04832771084337349</v>
      </c>
      <c r="P58" s="61" t="e">
        <f>E58-#REF!</f>
        <v>#REF!</v>
      </c>
      <c r="Q58" s="68"/>
    </row>
    <row r="59" spans="1:17" ht="99.75" customHeight="1" hidden="1" outlineLevel="5">
      <c r="A59" s="64" t="s">
        <v>89</v>
      </c>
      <c r="B59" s="65"/>
      <c r="C59" s="59" t="s">
        <v>91</v>
      </c>
      <c r="D59" s="60" t="s">
        <v>89</v>
      </c>
      <c r="E59" s="61">
        <v>401106.8</v>
      </c>
      <c r="F59" s="61">
        <v>0</v>
      </c>
      <c r="G59" s="62"/>
      <c r="H59" s="63" t="e">
        <f>E59/#REF!</f>
        <v>#REF!</v>
      </c>
      <c r="I59" s="61">
        <v>8300000</v>
      </c>
      <c r="J59" s="61"/>
      <c r="K59" s="61">
        <v>0</v>
      </c>
      <c r="L59" s="61"/>
      <c r="M59" s="63" t="e">
        <f t="shared" si="3"/>
        <v>#DIV/0!</v>
      </c>
      <c r="N59" s="61"/>
      <c r="O59" s="63">
        <f t="shared" si="0"/>
        <v>0</v>
      </c>
      <c r="P59" s="61" t="e">
        <f>E59-#REF!</f>
        <v>#REF!</v>
      </c>
      <c r="Q59" s="68"/>
    </row>
    <row r="60" spans="1:17" ht="99.75" customHeight="1" hidden="1" outlineLevel="5">
      <c r="A60" s="64" t="s">
        <v>92</v>
      </c>
      <c r="B60" s="65"/>
      <c r="C60" s="59" t="s">
        <v>91</v>
      </c>
      <c r="D60" s="60" t="s">
        <v>92</v>
      </c>
      <c r="E60" s="61">
        <v>13.2</v>
      </c>
      <c r="F60" s="61">
        <v>401106.8</v>
      </c>
      <c r="G60" s="62"/>
      <c r="H60" s="63" t="e">
        <f>E60/#REF!</f>
        <v>#REF!</v>
      </c>
      <c r="I60" s="61">
        <v>0</v>
      </c>
      <c r="J60" s="61"/>
      <c r="K60" s="61">
        <v>401106.8</v>
      </c>
      <c r="L60" s="61"/>
      <c r="M60" s="63" t="e">
        <f t="shared" si="3"/>
        <v>#DIV/0!</v>
      </c>
      <c r="N60" s="61"/>
      <c r="O60" s="63" t="e">
        <f t="shared" si="0"/>
        <v>#DIV/0!</v>
      </c>
      <c r="P60" s="61" t="e">
        <f>E60-#REF!</f>
        <v>#REF!</v>
      </c>
      <c r="Q60" s="68"/>
    </row>
    <row r="61" spans="1:17" ht="99.75" customHeight="1" hidden="1" outlineLevel="5">
      <c r="A61" s="64" t="s">
        <v>93</v>
      </c>
      <c r="B61" s="65"/>
      <c r="C61" s="59" t="s">
        <v>91</v>
      </c>
      <c r="D61" s="60" t="s">
        <v>93</v>
      </c>
      <c r="E61" s="51">
        <f>E62+E63+E64</f>
        <v>172244710.82</v>
      </c>
      <c r="F61" s="61">
        <v>13.2</v>
      </c>
      <c r="G61" s="62"/>
      <c r="H61" s="63" t="e">
        <f>E61/#REF!</f>
        <v>#REF!</v>
      </c>
      <c r="I61" s="61">
        <v>0</v>
      </c>
      <c r="J61" s="61"/>
      <c r="K61" s="61">
        <v>13.2</v>
      </c>
      <c r="L61" s="61"/>
      <c r="M61" s="63" t="e">
        <f t="shared" si="3"/>
        <v>#DIV/0!</v>
      </c>
      <c r="N61" s="61"/>
      <c r="O61" s="63" t="e">
        <f t="shared" si="0"/>
        <v>#DIV/0!</v>
      </c>
      <c r="P61" s="61" t="e">
        <f>E61-#REF!</f>
        <v>#REF!</v>
      </c>
      <c r="Q61" s="68"/>
    </row>
    <row r="62" spans="1:17" s="32" customFormat="1" ht="22.5" customHeight="1" outlineLevel="1" collapsed="1">
      <c r="A62" s="24" t="s">
        <v>94</v>
      </c>
      <c r="B62" s="48" t="s">
        <v>95</v>
      </c>
      <c r="C62" s="49" t="s">
        <v>96</v>
      </c>
      <c r="D62" s="50" t="s">
        <v>94</v>
      </c>
      <c r="E62" s="51">
        <f>E63+E64+E65</f>
        <v>95317580.9</v>
      </c>
      <c r="F62" s="51">
        <f>F63+F64+F65</f>
        <v>51208386.449999996</v>
      </c>
      <c r="G62" s="58">
        <f>F62-E62</f>
        <v>-44109194.45000001</v>
      </c>
      <c r="H62" s="54">
        <f aca="true" t="shared" si="10" ref="H62:H72">F62/E62</f>
        <v>0.537239677785402</v>
      </c>
      <c r="I62" s="51">
        <f>I63+I64+I65</f>
        <v>65255457.63</v>
      </c>
      <c r="J62" s="51">
        <f>J63+J64+J65</f>
        <v>3543302</v>
      </c>
      <c r="K62" s="51">
        <f>K63+K64+K65</f>
        <v>35754825.86</v>
      </c>
      <c r="L62" s="51">
        <f>K62-J62</f>
        <v>32211523.86</v>
      </c>
      <c r="M62" s="54">
        <f t="shared" si="3"/>
        <v>-1.4794071495449854</v>
      </c>
      <c r="N62" s="51">
        <f>N63+N64+N65</f>
        <v>-29500631.770000003</v>
      </c>
      <c r="O62" s="54">
        <f t="shared" si="0"/>
        <v>0.5479208507391169</v>
      </c>
      <c r="P62" s="51">
        <f aca="true" t="shared" si="11" ref="P62:P72">K62-F62</f>
        <v>-15453560.589999996</v>
      </c>
      <c r="Q62" s="149" t="s">
        <v>267</v>
      </c>
    </row>
    <row r="63" spans="1:17" ht="28.5" outlineLevel="2">
      <c r="A63" s="64" t="s">
        <v>97</v>
      </c>
      <c r="B63" s="65" t="s">
        <v>98</v>
      </c>
      <c r="C63" s="59" t="s">
        <v>99</v>
      </c>
      <c r="D63" s="60" t="s">
        <v>97</v>
      </c>
      <c r="E63" s="61">
        <v>14947482.35</v>
      </c>
      <c r="F63" s="61">
        <v>2846395.28</v>
      </c>
      <c r="G63" s="62">
        <f>F63-E63</f>
        <v>-12101087.07</v>
      </c>
      <c r="H63" s="63">
        <f t="shared" si="10"/>
        <v>0.190426401808061</v>
      </c>
      <c r="I63" s="61">
        <v>11900000</v>
      </c>
      <c r="J63" s="61">
        <v>80000</v>
      </c>
      <c r="K63" s="61">
        <f>3356358.93+294061.52+109768.34</f>
        <v>3760188.79</v>
      </c>
      <c r="L63" s="61">
        <f>K63-J63</f>
        <v>3680188.79</v>
      </c>
      <c r="M63" s="63">
        <f t="shared" si="3"/>
        <v>-0.9833827267883628</v>
      </c>
      <c r="N63" s="61">
        <f>K63-I63</f>
        <v>-8139811.21</v>
      </c>
      <c r="O63" s="63">
        <f t="shared" si="0"/>
        <v>0.3159822512605042</v>
      </c>
      <c r="P63" s="61">
        <f t="shared" si="11"/>
        <v>913793.5100000002</v>
      </c>
      <c r="Q63" s="66"/>
    </row>
    <row r="64" spans="1:17" ht="145.5" customHeight="1" outlineLevel="4">
      <c r="A64" s="64" t="s">
        <v>100</v>
      </c>
      <c r="B64" s="65" t="s">
        <v>101</v>
      </c>
      <c r="C64" s="59" t="s">
        <v>102</v>
      </c>
      <c r="D64" s="60" t="s">
        <v>100</v>
      </c>
      <c r="E64" s="61">
        <v>61979647.57</v>
      </c>
      <c r="F64" s="61">
        <v>45611144.91</v>
      </c>
      <c r="G64" s="62">
        <f>F64-E64</f>
        <v>-16368502.660000004</v>
      </c>
      <c r="H64" s="63">
        <f t="shared" si="10"/>
        <v>0.7359051995009592</v>
      </c>
      <c r="I64" s="61">
        <v>36355457.63</v>
      </c>
      <c r="J64" s="61">
        <v>3011857</v>
      </c>
      <c r="K64" s="61">
        <f>28558889.11-28231+9564.41</f>
        <v>28540222.52</v>
      </c>
      <c r="L64" s="61">
        <f>K64-J64</f>
        <v>25528365.52</v>
      </c>
      <c r="M64" s="63">
        <f t="shared" si="3"/>
        <v>-2.221061900722445</v>
      </c>
      <c r="N64" s="61">
        <f>K64-I64</f>
        <v>-7815235.110000003</v>
      </c>
      <c r="O64" s="63">
        <f t="shared" si="0"/>
        <v>0.7850326850637418</v>
      </c>
      <c r="P64" s="61">
        <f>K64-F64</f>
        <v>-17070922.389999997</v>
      </c>
      <c r="Q64" s="66" t="s">
        <v>296</v>
      </c>
    </row>
    <row r="65" spans="1:17" ht="56.25" customHeight="1" outlineLevel="4">
      <c r="A65" s="64" t="s">
        <v>103</v>
      </c>
      <c r="B65" s="65" t="s">
        <v>104</v>
      </c>
      <c r="C65" s="59" t="s">
        <v>105</v>
      </c>
      <c r="D65" s="60" t="s">
        <v>103</v>
      </c>
      <c r="E65" s="61">
        <v>18390450.98</v>
      </c>
      <c r="F65" s="61">
        <v>2750846.26</v>
      </c>
      <c r="G65" s="62">
        <f>F65-E65</f>
        <v>-15639604.72</v>
      </c>
      <c r="H65" s="63">
        <f t="shared" si="10"/>
        <v>0.14958014150885166</v>
      </c>
      <c r="I65" s="61">
        <v>17000000</v>
      </c>
      <c r="J65" s="61">
        <v>451445</v>
      </c>
      <c r="K65" s="61">
        <f>3176335.64+210411.2+67667.71</f>
        <v>3454414.5500000003</v>
      </c>
      <c r="L65" s="61">
        <f>K65-J65</f>
        <v>3002969.5500000003</v>
      </c>
      <c r="M65" s="63">
        <f t="shared" si="3"/>
        <v>-1.0869839938000683</v>
      </c>
      <c r="N65" s="61">
        <f>K65-I65</f>
        <v>-13545585.45</v>
      </c>
      <c r="O65" s="63">
        <f t="shared" si="0"/>
        <v>0.20320085588235295</v>
      </c>
      <c r="P65" s="61">
        <f t="shared" si="11"/>
        <v>703568.2900000005</v>
      </c>
      <c r="Q65" s="66"/>
    </row>
    <row r="66" spans="1:17" s="32" customFormat="1" ht="32.25" customHeight="1" outlineLevel="1">
      <c r="A66" s="24" t="s">
        <v>106</v>
      </c>
      <c r="B66" s="48" t="s">
        <v>107</v>
      </c>
      <c r="C66" s="49" t="s">
        <v>108</v>
      </c>
      <c r="D66" s="50" t="s">
        <v>106</v>
      </c>
      <c r="E66" s="51">
        <f>E67+E72</f>
        <v>10536108.33</v>
      </c>
      <c r="F66" s="51">
        <f>F67+F72</f>
        <v>7824713.43</v>
      </c>
      <c r="G66" s="58">
        <f>G67+G72</f>
        <v>-2711394.9000000004</v>
      </c>
      <c r="H66" s="54">
        <f t="shared" si="10"/>
        <v>0.7426568885705449</v>
      </c>
      <c r="I66" s="51">
        <f>I67+I72</f>
        <v>11535000</v>
      </c>
      <c r="J66" s="51">
        <f>J67+J72</f>
        <v>605206</v>
      </c>
      <c r="K66" s="51">
        <f>K67+K72</f>
        <v>8232814.84</v>
      </c>
      <c r="L66" s="51">
        <f>K66-J66</f>
        <v>7627608.84</v>
      </c>
      <c r="M66" s="54">
        <f t="shared" si="3"/>
        <v>-4.254267794042099</v>
      </c>
      <c r="N66" s="51">
        <f>N67+N72</f>
        <v>-3302185.16</v>
      </c>
      <c r="O66" s="54">
        <f t="shared" si="0"/>
        <v>0.713724736887733</v>
      </c>
      <c r="P66" s="51">
        <f t="shared" si="11"/>
        <v>408101.41000000015</v>
      </c>
      <c r="Q66" s="56"/>
    </row>
    <row r="67" spans="1:17" ht="91.5" customHeight="1" outlineLevel="2">
      <c r="A67" s="64" t="s">
        <v>109</v>
      </c>
      <c r="B67" s="65" t="s">
        <v>110</v>
      </c>
      <c r="C67" s="59" t="s">
        <v>111</v>
      </c>
      <c r="D67" s="60" t="s">
        <v>109</v>
      </c>
      <c r="E67" s="61">
        <v>10431108.33</v>
      </c>
      <c r="F67" s="61">
        <v>7719713.43</v>
      </c>
      <c r="G67" s="62">
        <f aca="true" t="shared" si="12" ref="G67:G72">F67-E67</f>
        <v>-2711394.9000000004</v>
      </c>
      <c r="H67" s="63">
        <f t="shared" si="10"/>
        <v>0.7400664613747713</v>
      </c>
      <c r="I67" s="61">
        <v>11500000</v>
      </c>
      <c r="J67" s="61">
        <v>605206</v>
      </c>
      <c r="K67" s="61">
        <f>8102896.95+43596.83+31321.06</f>
        <v>8177814.84</v>
      </c>
      <c r="L67" s="61">
        <f>K67-J67</f>
        <v>7572608.84</v>
      </c>
      <c r="M67" s="63">
        <f t="shared" si="3"/>
        <v>-4.241359309188049</v>
      </c>
      <c r="N67" s="61">
        <f aca="true" t="shared" si="13" ref="N67:N72">K67-I67</f>
        <v>-3322185.16</v>
      </c>
      <c r="O67" s="63">
        <f t="shared" si="0"/>
        <v>0.7111143339130435</v>
      </c>
      <c r="P67" s="61">
        <f t="shared" si="11"/>
        <v>458101.41000000015</v>
      </c>
      <c r="Q67" s="67"/>
    </row>
    <row r="68" spans="1:17" ht="15" customHeight="1" hidden="1" outlineLevel="3">
      <c r="A68" s="64" t="s">
        <v>112</v>
      </c>
      <c r="B68" s="65"/>
      <c r="C68" s="59" t="s">
        <v>23</v>
      </c>
      <c r="D68" s="60" t="s">
        <v>112</v>
      </c>
      <c r="E68" s="61"/>
      <c r="F68" s="61"/>
      <c r="G68" s="62">
        <f t="shared" si="12"/>
        <v>0</v>
      </c>
      <c r="H68" s="63" t="e">
        <f t="shared" si="10"/>
        <v>#DIV/0!</v>
      </c>
      <c r="I68" s="61"/>
      <c r="J68" s="61"/>
      <c r="K68" s="61"/>
      <c r="L68" s="61">
        <f>I68-G68</f>
        <v>0</v>
      </c>
      <c r="M68" s="63" t="e">
        <f t="shared" si="3"/>
        <v>#DIV/0!</v>
      </c>
      <c r="N68" s="61">
        <f t="shared" si="13"/>
        <v>0</v>
      </c>
      <c r="O68" s="63" t="e">
        <f t="shared" si="0"/>
        <v>#DIV/0!</v>
      </c>
      <c r="P68" s="61">
        <f t="shared" si="11"/>
        <v>0</v>
      </c>
      <c r="Q68" s="68"/>
    </row>
    <row r="69" spans="1:17" ht="114" customHeight="1" hidden="1" outlineLevel="4">
      <c r="A69" s="64" t="s">
        <v>113</v>
      </c>
      <c r="B69" s="65"/>
      <c r="C69" s="59" t="s">
        <v>114</v>
      </c>
      <c r="D69" s="60" t="s">
        <v>113</v>
      </c>
      <c r="E69" s="61"/>
      <c r="F69" s="61"/>
      <c r="G69" s="62">
        <f t="shared" si="12"/>
        <v>0</v>
      </c>
      <c r="H69" s="63" t="e">
        <f t="shared" si="10"/>
        <v>#DIV/0!</v>
      </c>
      <c r="I69" s="61"/>
      <c r="J69" s="61"/>
      <c r="K69" s="61"/>
      <c r="L69" s="61">
        <f>I69-G69</f>
        <v>0</v>
      </c>
      <c r="M69" s="63" t="e">
        <f t="shared" si="3"/>
        <v>#DIV/0!</v>
      </c>
      <c r="N69" s="61">
        <f t="shared" si="13"/>
        <v>0</v>
      </c>
      <c r="O69" s="63" t="e">
        <f t="shared" si="0"/>
        <v>#DIV/0!</v>
      </c>
      <c r="P69" s="61">
        <f t="shared" si="11"/>
        <v>0</v>
      </c>
      <c r="Q69" s="68"/>
    </row>
    <row r="70" spans="1:17" ht="128.25" customHeight="1" hidden="1" outlineLevel="5">
      <c r="A70" s="64" t="s">
        <v>113</v>
      </c>
      <c r="B70" s="65"/>
      <c r="C70" s="59" t="s">
        <v>115</v>
      </c>
      <c r="D70" s="60" t="s">
        <v>113</v>
      </c>
      <c r="E70" s="61"/>
      <c r="F70" s="61"/>
      <c r="G70" s="62">
        <f t="shared" si="12"/>
        <v>0</v>
      </c>
      <c r="H70" s="63" t="e">
        <f t="shared" si="10"/>
        <v>#DIV/0!</v>
      </c>
      <c r="I70" s="61"/>
      <c r="J70" s="61"/>
      <c r="K70" s="61"/>
      <c r="L70" s="61">
        <f>I70-G70</f>
        <v>0</v>
      </c>
      <c r="M70" s="63" t="e">
        <f t="shared" si="3"/>
        <v>#DIV/0!</v>
      </c>
      <c r="N70" s="61">
        <f t="shared" si="13"/>
        <v>0</v>
      </c>
      <c r="O70" s="63" t="e">
        <f t="shared" si="0"/>
        <v>#DIV/0!</v>
      </c>
      <c r="P70" s="61">
        <f t="shared" si="11"/>
        <v>0</v>
      </c>
      <c r="Q70" s="68"/>
    </row>
    <row r="71" spans="1:17" ht="171" customHeight="1" hidden="1" outlineLevel="5">
      <c r="A71" s="64" t="s">
        <v>116</v>
      </c>
      <c r="B71" s="65"/>
      <c r="C71" s="59" t="s">
        <v>117</v>
      </c>
      <c r="D71" s="60" t="s">
        <v>116</v>
      </c>
      <c r="E71" s="61"/>
      <c r="F71" s="61"/>
      <c r="G71" s="62">
        <f t="shared" si="12"/>
        <v>0</v>
      </c>
      <c r="H71" s="63" t="e">
        <f t="shared" si="10"/>
        <v>#DIV/0!</v>
      </c>
      <c r="I71" s="61"/>
      <c r="J71" s="61"/>
      <c r="K71" s="61"/>
      <c r="L71" s="61">
        <f>I71-G71</f>
        <v>0</v>
      </c>
      <c r="M71" s="63" t="e">
        <f t="shared" si="3"/>
        <v>#DIV/0!</v>
      </c>
      <c r="N71" s="61">
        <f t="shared" si="13"/>
        <v>0</v>
      </c>
      <c r="O71" s="63" t="e">
        <f t="shared" si="0"/>
        <v>#DIV/0!</v>
      </c>
      <c r="P71" s="61">
        <f t="shared" si="11"/>
        <v>0</v>
      </c>
      <c r="Q71" s="68"/>
    </row>
    <row r="72" spans="1:17" ht="78.75" customHeight="1" outlineLevel="2" collapsed="1">
      <c r="A72" s="64" t="s">
        <v>118</v>
      </c>
      <c r="B72" s="65" t="s">
        <v>119</v>
      </c>
      <c r="C72" s="59" t="s">
        <v>120</v>
      </c>
      <c r="D72" s="60" t="s">
        <v>118</v>
      </c>
      <c r="E72" s="62">
        <v>105000</v>
      </c>
      <c r="F72" s="62">
        <v>105000</v>
      </c>
      <c r="G72" s="62">
        <f t="shared" si="12"/>
        <v>0</v>
      </c>
      <c r="H72" s="63">
        <f t="shared" si="10"/>
        <v>1</v>
      </c>
      <c r="I72" s="61">
        <v>35000</v>
      </c>
      <c r="J72" s="61"/>
      <c r="K72" s="62">
        <v>55000</v>
      </c>
      <c r="L72" s="61">
        <f>K72-J72</f>
        <v>55000</v>
      </c>
      <c r="M72" s="63" t="e">
        <f t="shared" si="3"/>
        <v>#DIV/0!</v>
      </c>
      <c r="N72" s="61">
        <f t="shared" si="13"/>
        <v>20000</v>
      </c>
      <c r="O72" s="63">
        <f t="shared" si="0"/>
        <v>1.5714285714285714</v>
      </c>
      <c r="P72" s="61">
        <f t="shared" si="11"/>
        <v>-50000</v>
      </c>
      <c r="Q72" s="66"/>
    </row>
    <row r="73" spans="1:17" ht="15" customHeight="1" hidden="1" outlineLevel="3">
      <c r="A73" s="64" t="s">
        <v>121</v>
      </c>
      <c r="B73" s="65"/>
      <c r="C73" s="59" t="s">
        <v>23</v>
      </c>
      <c r="D73" s="60" t="s">
        <v>121</v>
      </c>
      <c r="E73" s="61">
        <v>0</v>
      </c>
      <c r="F73" s="61">
        <v>0</v>
      </c>
      <c r="G73" s="62"/>
      <c r="H73" s="63" t="e">
        <f>E73/#REF!</f>
        <v>#REF!</v>
      </c>
      <c r="I73" s="61">
        <v>60000</v>
      </c>
      <c r="J73" s="61"/>
      <c r="K73" s="61">
        <v>0</v>
      </c>
      <c r="L73" s="61"/>
      <c r="M73" s="63" t="e">
        <f t="shared" si="3"/>
        <v>#DIV/0!</v>
      </c>
      <c r="N73" s="61"/>
      <c r="O73" s="63">
        <f t="shared" si="0"/>
        <v>0</v>
      </c>
      <c r="P73" s="61" t="e">
        <f>E73-#REF!</f>
        <v>#REF!</v>
      </c>
      <c r="Q73" s="68"/>
    </row>
    <row r="74" spans="1:17" ht="57" customHeight="1" hidden="1" outlineLevel="4">
      <c r="A74" s="64" t="s">
        <v>122</v>
      </c>
      <c r="B74" s="65"/>
      <c r="C74" s="59" t="s">
        <v>123</v>
      </c>
      <c r="D74" s="60" t="s">
        <v>122</v>
      </c>
      <c r="E74" s="61">
        <v>0</v>
      </c>
      <c r="F74" s="61">
        <v>0</v>
      </c>
      <c r="G74" s="62"/>
      <c r="H74" s="63" t="e">
        <f>E74/#REF!</f>
        <v>#REF!</v>
      </c>
      <c r="I74" s="61">
        <v>60000</v>
      </c>
      <c r="J74" s="61"/>
      <c r="K74" s="61">
        <v>0</v>
      </c>
      <c r="L74" s="61"/>
      <c r="M74" s="63" t="e">
        <f t="shared" si="3"/>
        <v>#DIV/0!</v>
      </c>
      <c r="N74" s="61"/>
      <c r="O74" s="63">
        <f t="shared" si="0"/>
        <v>0</v>
      </c>
      <c r="P74" s="61" t="e">
        <f>E74-#REF!</f>
        <v>#REF!</v>
      </c>
      <c r="Q74" s="68"/>
    </row>
    <row r="75" spans="1:17" ht="71.25" customHeight="1" hidden="1" outlineLevel="5">
      <c r="A75" s="64" t="s">
        <v>122</v>
      </c>
      <c r="B75" s="65"/>
      <c r="C75" s="59" t="s">
        <v>124</v>
      </c>
      <c r="D75" s="60" t="s">
        <v>122</v>
      </c>
      <c r="E75" s="51">
        <v>-23389.69</v>
      </c>
      <c r="F75" s="61">
        <v>0</v>
      </c>
      <c r="G75" s="62"/>
      <c r="H75" s="63" t="e">
        <f>E75/#REF!</f>
        <v>#REF!</v>
      </c>
      <c r="I75" s="61">
        <v>60000</v>
      </c>
      <c r="J75" s="61"/>
      <c r="K75" s="61">
        <v>0</v>
      </c>
      <c r="L75" s="61"/>
      <c r="M75" s="63" t="e">
        <f t="shared" si="3"/>
        <v>#DIV/0!</v>
      </c>
      <c r="N75" s="61"/>
      <c r="O75" s="63">
        <f t="shared" si="0"/>
        <v>0</v>
      </c>
      <c r="P75" s="61" t="e">
        <f>E75-#REF!</f>
        <v>#REF!</v>
      </c>
      <c r="Q75" s="68"/>
    </row>
    <row r="76" spans="1:17" s="32" customFormat="1" ht="83.25" customHeight="1" outlineLevel="1" collapsed="1">
      <c r="A76" s="24" t="s">
        <v>125</v>
      </c>
      <c r="B76" s="48" t="s">
        <v>126</v>
      </c>
      <c r="C76" s="49" t="s">
        <v>127</v>
      </c>
      <c r="D76" s="50" t="s">
        <v>125</v>
      </c>
      <c r="E76" s="51">
        <v>-23389.69</v>
      </c>
      <c r="F76" s="51">
        <v>-23389.69</v>
      </c>
      <c r="G76" s="58">
        <f>F76-E76</f>
        <v>0</v>
      </c>
      <c r="H76" s="54">
        <f>F76/E76</f>
        <v>1</v>
      </c>
      <c r="I76" s="51"/>
      <c r="J76" s="51"/>
      <c r="K76" s="51">
        <v>942.29</v>
      </c>
      <c r="L76" s="51">
        <f>K76-J76</f>
        <v>942.29</v>
      </c>
      <c r="M76" s="54"/>
      <c r="N76" s="51"/>
      <c r="O76" s="54"/>
      <c r="P76" s="51">
        <f>K76-F76</f>
        <v>24331.98</v>
      </c>
      <c r="Q76" s="56"/>
    </row>
    <row r="77" spans="1:17" s="32" customFormat="1" ht="15.75" customHeight="1" hidden="1" outlineLevel="3">
      <c r="A77" s="24" t="s">
        <v>128</v>
      </c>
      <c r="B77" s="48"/>
      <c r="C77" s="49" t="s">
        <v>23</v>
      </c>
      <c r="D77" s="50" t="s">
        <v>128</v>
      </c>
      <c r="E77" s="51">
        <v>78.92</v>
      </c>
      <c r="F77" s="51">
        <v>78.92</v>
      </c>
      <c r="G77" s="58"/>
      <c r="H77" s="54" t="e">
        <f>E77/#REF!</f>
        <v>#REF!</v>
      </c>
      <c r="I77" s="51">
        <v>0</v>
      </c>
      <c r="J77" s="51"/>
      <c r="K77" s="51">
        <v>78.92</v>
      </c>
      <c r="L77" s="51"/>
      <c r="M77" s="54" t="e">
        <f>I77/G77</f>
        <v>#DIV/0!</v>
      </c>
      <c r="N77" s="51"/>
      <c r="O77" s="54" t="e">
        <f t="shared" si="0"/>
        <v>#DIV/0!</v>
      </c>
      <c r="P77" s="51" t="e">
        <f>E77-#REF!</f>
        <v>#REF!</v>
      </c>
      <c r="Q77" s="69"/>
    </row>
    <row r="78" spans="1:17" s="32" customFormat="1" ht="180" customHeight="1" hidden="1" outlineLevel="4">
      <c r="A78" s="24" t="s">
        <v>129</v>
      </c>
      <c r="B78" s="48"/>
      <c r="C78" s="49" t="s">
        <v>130</v>
      </c>
      <c r="D78" s="50" t="s">
        <v>129</v>
      </c>
      <c r="E78" s="51">
        <v>78.92</v>
      </c>
      <c r="F78" s="51">
        <v>78.92</v>
      </c>
      <c r="G78" s="58"/>
      <c r="H78" s="54" t="e">
        <f>E78/#REF!</f>
        <v>#REF!</v>
      </c>
      <c r="I78" s="51">
        <v>0</v>
      </c>
      <c r="J78" s="51"/>
      <c r="K78" s="51">
        <v>78.92</v>
      </c>
      <c r="L78" s="51"/>
      <c r="M78" s="54" t="e">
        <f>I78/G78</f>
        <v>#DIV/0!</v>
      </c>
      <c r="N78" s="51"/>
      <c r="O78" s="54" t="e">
        <f t="shared" si="0"/>
        <v>#DIV/0!</v>
      </c>
      <c r="P78" s="51" t="e">
        <f>E78-#REF!</f>
        <v>#REF!</v>
      </c>
      <c r="Q78" s="69"/>
    </row>
    <row r="79" spans="1:17" s="32" customFormat="1" ht="180" customHeight="1" hidden="1" outlineLevel="5">
      <c r="A79" s="24" t="s">
        <v>131</v>
      </c>
      <c r="B79" s="48"/>
      <c r="C79" s="49" t="s">
        <v>132</v>
      </c>
      <c r="D79" s="50" t="s">
        <v>131</v>
      </c>
      <c r="E79" s="72">
        <f>E80+E89+E105+E108+E111+E112</f>
        <v>106887173.90000002</v>
      </c>
      <c r="F79" s="51">
        <v>78.92</v>
      </c>
      <c r="G79" s="58"/>
      <c r="H79" s="54" t="e">
        <f>E79/#REF!</f>
        <v>#REF!</v>
      </c>
      <c r="I79" s="51">
        <v>0</v>
      </c>
      <c r="J79" s="51"/>
      <c r="K79" s="51">
        <v>78.92</v>
      </c>
      <c r="L79" s="51"/>
      <c r="M79" s="54" t="e">
        <f>I79/G79</f>
        <v>#DIV/0!</v>
      </c>
      <c r="N79" s="51"/>
      <c r="O79" s="54" t="e">
        <f>K79/I79</f>
        <v>#DIV/0!</v>
      </c>
      <c r="P79" s="51" t="e">
        <f>E79-#REF!</f>
        <v>#REF!</v>
      </c>
      <c r="Q79" s="69"/>
    </row>
    <row r="80" spans="1:17" s="32" customFormat="1" ht="39" customHeight="1" outlineLevel="5">
      <c r="A80" s="24"/>
      <c r="B80" s="48" t="s">
        <v>133</v>
      </c>
      <c r="C80" s="70" t="s">
        <v>134</v>
      </c>
      <c r="D80" s="71"/>
      <c r="E80" s="72">
        <f>E81+E90+E106+E109+E112+E113</f>
        <v>73494552.89</v>
      </c>
      <c r="F80" s="72">
        <f>F81+F90+F106+F109+F112+F113</f>
        <v>50903182.36</v>
      </c>
      <c r="G80" s="72">
        <f>G81+G90+G106+G109+G112+G113</f>
        <v>-22579668.989999995</v>
      </c>
      <c r="H80" s="72">
        <f>F80/E80</f>
        <v>0.6926116339014576</v>
      </c>
      <c r="I80" s="72">
        <f>I81+I90+I106+I109+I112+I113</f>
        <v>90296262.56</v>
      </c>
      <c r="J80" s="72">
        <f>J81+J90+J106+J109+J112+J113</f>
        <v>2230316.48</v>
      </c>
      <c r="K80" s="72">
        <f>K81+K90+K106+K109+K112+K113</f>
        <v>96043255.05000001</v>
      </c>
      <c r="L80" s="72">
        <f>K80-J80</f>
        <v>93812938.57000001</v>
      </c>
      <c r="M80" s="72" t="e">
        <f>M81+M90+M106+M109+M112+M113</f>
        <v>#DIV/0!</v>
      </c>
      <c r="N80" s="72">
        <f>N81+N90+N106+N109+N112+N113</f>
        <v>5746992.490000003</v>
      </c>
      <c r="O80" s="156">
        <f aca="true" t="shared" si="14" ref="O80:O127">K80/I80</f>
        <v>1.0636459619375858</v>
      </c>
      <c r="P80" s="72">
        <f>K80-F80</f>
        <v>45140072.69000001</v>
      </c>
      <c r="Q80" s="56"/>
    </row>
    <row r="81" spans="1:17" s="32" customFormat="1" ht="72" customHeight="1" outlineLevel="1">
      <c r="A81" s="24" t="s">
        <v>135</v>
      </c>
      <c r="B81" s="48" t="s">
        <v>136</v>
      </c>
      <c r="C81" s="49" t="s">
        <v>137</v>
      </c>
      <c r="D81" s="50" t="s">
        <v>135</v>
      </c>
      <c r="E81" s="51">
        <f>E82+E83+E84+E85+E89</f>
        <v>37416244.75</v>
      </c>
      <c r="F81" s="51">
        <f>F82+F83+F84+F85+F89</f>
        <v>25699833.810000002</v>
      </c>
      <c r="G81" s="58">
        <f>G82+G83+G85+G89</f>
        <v>-11687170.799999999</v>
      </c>
      <c r="H81" s="54">
        <f>F81/E81</f>
        <v>0.6868629917757848</v>
      </c>
      <c r="I81" s="51">
        <f>I82+I83+I84+I85+I89</f>
        <v>26290475.19</v>
      </c>
      <c r="J81" s="51">
        <f>J82+J83+J84+J85+J89</f>
        <v>859800</v>
      </c>
      <c r="K81" s="51">
        <f>K82+K83+K84+K85+K89</f>
        <v>21899938.470000006</v>
      </c>
      <c r="L81" s="51">
        <f>K81-J81</f>
        <v>21040138.470000006</v>
      </c>
      <c r="M81" s="54">
        <f>I81/G81</f>
        <v>-2.249515784436042</v>
      </c>
      <c r="N81" s="51">
        <f>N82+N83+N84+N85+N89</f>
        <v>-4390536.719999999</v>
      </c>
      <c r="O81" s="54">
        <f t="shared" si="14"/>
        <v>0.8329989591945449</v>
      </c>
      <c r="P81" s="51">
        <f>K81-F81</f>
        <v>-3799895.339999996</v>
      </c>
      <c r="Q81" s="56"/>
    </row>
    <row r="82" spans="1:17" ht="66.75" customHeight="1" outlineLevel="4">
      <c r="A82" s="64" t="s">
        <v>138</v>
      </c>
      <c r="B82" s="65" t="s">
        <v>139</v>
      </c>
      <c r="C82" s="59" t="s">
        <v>140</v>
      </c>
      <c r="D82" s="60" t="s">
        <v>138</v>
      </c>
      <c r="E82" s="61">
        <v>24363527.29</v>
      </c>
      <c r="F82" s="61">
        <v>14624814.51</v>
      </c>
      <c r="G82" s="62">
        <f>F82-E82</f>
        <v>-9738712.78</v>
      </c>
      <c r="H82" s="63">
        <f>F82/E82</f>
        <v>0.6002749247233486</v>
      </c>
      <c r="I82" s="61">
        <v>15000000</v>
      </c>
      <c r="J82" s="61">
        <v>350000</v>
      </c>
      <c r="K82" s="61">
        <f>12730899.88+20234.42+94909.56</f>
        <v>12846043.860000001</v>
      </c>
      <c r="L82" s="61">
        <f>K82-J82</f>
        <v>12496043.860000001</v>
      </c>
      <c r="M82" s="63">
        <f>I82/G82</f>
        <v>-1.5402446235815572</v>
      </c>
      <c r="N82" s="61">
        <f>K82-I82</f>
        <v>-2153956.1399999987</v>
      </c>
      <c r="O82" s="63">
        <f t="shared" si="14"/>
        <v>0.8564029240000001</v>
      </c>
      <c r="P82" s="61">
        <f>K82-F82</f>
        <v>-1778770.6499999985</v>
      </c>
      <c r="Q82" s="66" t="s">
        <v>268</v>
      </c>
    </row>
    <row r="83" spans="1:17" ht="61.5" customHeight="1" outlineLevel="4">
      <c r="A83" s="64" t="s">
        <v>141</v>
      </c>
      <c r="B83" s="65" t="s">
        <v>142</v>
      </c>
      <c r="C83" s="59" t="s">
        <v>143</v>
      </c>
      <c r="D83" s="60" t="s">
        <v>141</v>
      </c>
      <c r="E83" s="61">
        <v>977974.72</v>
      </c>
      <c r="F83" s="61">
        <v>695835.26</v>
      </c>
      <c r="G83" s="62">
        <f aca="true" t="shared" si="15" ref="G83:G89">F83-E83</f>
        <v>-282139.45999999996</v>
      </c>
      <c r="H83" s="63">
        <f aca="true" t="shared" si="16" ref="H83:H89">F83/E83</f>
        <v>0.7115063874043698</v>
      </c>
      <c r="I83" s="61">
        <v>987235.05</v>
      </c>
      <c r="J83" s="61">
        <v>109800</v>
      </c>
      <c r="K83" s="61">
        <f>769162.11+13615.37</f>
        <v>782777.48</v>
      </c>
      <c r="L83" s="61">
        <f aca="true" t="shared" si="17" ref="L83:L89">K83-J83</f>
        <v>672977.48</v>
      </c>
      <c r="M83" s="63">
        <f>I83/G83</f>
        <v>-3.499103067681494</v>
      </c>
      <c r="N83" s="61">
        <f aca="true" t="shared" si="18" ref="N83:N89">K83-I83</f>
        <v>-204457.57000000007</v>
      </c>
      <c r="O83" s="63">
        <f t="shared" si="14"/>
        <v>0.7928987934534941</v>
      </c>
      <c r="P83" s="61">
        <f aca="true" t="shared" si="19" ref="P83:P89">K83-F83</f>
        <v>86942.21999999997</v>
      </c>
      <c r="Q83" s="66"/>
    </row>
    <row r="84" spans="1:17" ht="108" customHeight="1" outlineLevel="4">
      <c r="A84" s="64"/>
      <c r="B84" s="65" t="s">
        <v>144</v>
      </c>
      <c r="C84" s="59" t="s">
        <v>145</v>
      </c>
      <c r="D84" s="60" t="s">
        <v>146</v>
      </c>
      <c r="E84" s="61">
        <v>58480.28</v>
      </c>
      <c r="F84" s="61">
        <v>29240.14</v>
      </c>
      <c r="G84" s="62">
        <f t="shared" si="15"/>
        <v>-29240.14</v>
      </c>
      <c r="H84" s="63">
        <f t="shared" si="16"/>
        <v>0.5</v>
      </c>
      <c r="I84" s="61">
        <v>29240.14</v>
      </c>
      <c r="J84" s="61"/>
      <c r="K84" s="61">
        <v>27691.96</v>
      </c>
      <c r="L84" s="61">
        <f t="shared" si="17"/>
        <v>27691.96</v>
      </c>
      <c r="M84" s="63"/>
      <c r="N84" s="61">
        <f t="shared" si="18"/>
        <v>-1548.1800000000003</v>
      </c>
      <c r="O84" s="63"/>
      <c r="P84" s="61"/>
      <c r="Q84" s="73" t="s">
        <v>147</v>
      </c>
    </row>
    <row r="85" spans="1:17" ht="38.25" customHeight="1" outlineLevel="2">
      <c r="A85" s="64" t="s">
        <v>148</v>
      </c>
      <c r="B85" s="65" t="s">
        <v>149</v>
      </c>
      <c r="C85" s="59" t="s">
        <v>150</v>
      </c>
      <c r="D85" s="60" t="s">
        <v>148</v>
      </c>
      <c r="E85" s="62">
        <v>5843542.64</v>
      </c>
      <c r="F85" s="62">
        <v>5843542.64</v>
      </c>
      <c r="G85" s="62">
        <f t="shared" si="15"/>
        <v>0</v>
      </c>
      <c r="H85" s="63">
        <f t="shared" si="16"/>
        <v>1</v>
      </c>
      <c r="I85" s="61">
        <v>4966000</v>
      </c>
      <c r="J85" s="61"/>
      <c r="K85" s="62">
        <v>4069500</v>
      </c>
      <c r="L85" s="61">
        <f t="shared" si="17"/>
        <v>4069500</v>
      </c>
      <c r="M85" s="63" t="e">
        <f aca="true" t="shared" si="20" ref="M85:M112">I85/G85</f>
        <v>#DIV/0!</v>
      </c>
      <c r="N85" s="61">
        <f t="shared" si="18"/>
        <v>-896500</v>
      </c>
      <c r="O85" s="63">
        <f t="shared" si="14"/>
        <v>0.8194724124043495</v>
      </c>
      <c r="P85" s="61">
        <f t="shared" si="19"/>
        <v>-1774042.6399999997</v>
      </c>
      <c r="Q85" s="66" t="s">
        <v>257</v>
      </c>
    </row>
    <row r="86" spans="1:17" ht="15" customHeight="1" hidden="1" outlineLevel="3">
      <c r="A86" s="64" t="s">
        <v>151</v>
      </c>
      <c r="B86" s="65"/>
      <c r="C86" s="59" t="s">
        <v>23</v>
      </c>
      <c r="D86" s="60" t="s">
        <v>151</v>
      </c>
      <c r="E86" s="61"/>
      <c r="F86" s="61"/>
      <c r="G86" s="62">
        <f t="shared" si="15"/>
        <v>0</v>
      </c>
      <c r="H86" s="63" t="e">
        <f t="shared" si="16"/>
        <v>#DIV/0!</v>
      </c>
      <c r="I86" s="61"/>
      <c r="J86" s="61"/>
      <c r="K86" s="61"/>
      <c r="L86" s="61">
        <f t="shared" si="17"/>
        <v>0</v>
      </c>
      <c r="M86" s="63" t="e">
        <f t="shared" si="20"/>
        <v>#DIV/0!</v>
      </c>
      <c r="N86" s="61">
        <f t="shared" si="18"/>
        <v>0</v>
      </c>
      <c r="O86" s="63" t="e">
        <f t="shared" si="14"/>
        <v>#DIV/0!</v>
      </c>
      <c r="P86" s="61">
        <f t="shared" si="19"/>
        <v>0</v>
      </c>
      <c r="Q86" s="68"/>
    </row>
    <row r="87" spans="1:17" ht="128.25" customHeight="1" hidden="1" outlineLevel="4">
      <c r="A87" s="64" t="s">
        <v>152</v>
      </c>
      <c r="B87" s="65"/>
      <c r="C87" s="59" t="s">
        <v>153</v>
      </c>
      <c r="D87" s="60" t="s">
        <v>152</v>
      </c>
      <c r="E87" s="61"/>
      <c r="F87" s="61"/>
      <c r="G87" s="62">
        <f t="shared" si="15"/>
        <v>0</v>
      </c>
      <c r="H87" s="63" t="e">
        <f t="shared" si="16"/>
        <v>#DIV/0!</v>
      </c>
      <c r="I87" s="61"/>
      <c r="J87" s="61"/>
      <c r="K87" s="61"/>
      <c r="L87" s="61">
        <f t="shared" si="17"/>
        <v>0</v>
      </c>
      <c r="M87" s="63" t="e">
        <f t="shared" si="20"/>
        <v>#DIV/0!</v>
      </c>
      <c r="N87" s="61">
        <f t="shared" si="18"/>
        <v>0</v>
      </c>
      <c r="O87" s="63" t="e">
        <f t="shared" si="14"/>
        <v>#DIV/0!</v>
      </c>
      <c r="P87" s="61">
        <f t="shared" si="19"/>
        <v>0</v>
      </c>
      <c r="Q87" s="68"/>
    </row>
    <row r="88" spans="1:17" ht="128.25" customHeight="1" hidden="1" outlineLevel="5">
      <c r="A88" s="64" t="s">
        <v>152</v>
      </c>
      <c r="B88" s="65"/>
      <c r="C88" s="59" t="s">
        <v>154</v>
      </c>
      <c r="D88" s="60" t="s">
        <v>152</v>
      </c>
      <c r="E88" s="61"/>
      <c r="F88" s="61"/>
      <c r="G88" s="62">
        <f t="shared" si="15"/>
        <v>0</v>
      </c>
      <c r="H88" s="63" t="e">
        <f t="shared" si="16"/>
        <v>#DIV/0!</v>
      </c>
      <c r="I88" s="61"/>
      <c r="J88" s="61"/>
      <c r="K88" s="61"/>
      <c r="L88" s="61">
        <f t="shared" si="17"/>
        <v>0</v>
      </c>
      <c r="M88" s="63" t="e">
        <f t="shared" si="20"/>
        <v>#DIV/0!</v>
      </c>
      <c r="N88" s="61">
        <f t="shared" si="18"/>
        <v>0</v>
      </c>
      <c r="O88" s="63" t="e">
        <f t="shared" si="14"/>
        <v>#DIV/0!</v>
      </c>
      <c r="P88" s="61">
        <f t="shared" si="19"/>
        <v>0</v>
      </c>
      <c r="Q88" s="68"/>
    </row>
    <row r="89" spans="1:17" ht="69.75" customHeight="1" outlineLevel="2" collapsed="1">
      <c r="A89" s="64" t="s">
        <v>155</v>
      </c>
      <c r="B89" s="65" t="s">
        <v>156</v>
      </c>
      <c r="C89" s="59" t="s">
        <v>157</v>
      </c>
      <c r="D89" s="60" t="s">
        <v>155</v>
      </c>
      <c r="E89" s="61">
        <v>6172719.82</v>
      </c>
      <c r="F89" s="61">
        <v>4506401.26</v>
      </c>
      <c r="G89" s="62">
        <f t="shared" si="15"/>
        <v>-1666318.5600000005</v>
      </c>
      <c r="H89" s="63">
        <f t="shared" si="16"/>
        <v>0.7300511591987339</v>
      </c>
      <c r="I89" s="61">
        <v>5308000</v>
      </c>
      <c r="J89" s="61">
        <v>400000</v>
      </c>
      <c r="K89" s="61">
        <f>4166449.12+7569.85-93.8</f>
        <v>4173925.1700000004</v>
      </c>
      <c r="L89" s="61">
        <f t="shared" si="17"/>
        <v>3773925.1700000004</v>
      </c>
      <c r="M89" s="63">
        <f t="shared" si="20"/>
        <v>-3.1854653290304817</v>
      </c>
      <c r="N89" s="61">
        <f t="shared" si="18"/>
        <v>-1134074.8299999996</v>
      </c>
      <c r="O89" s="63">
        <f t="shared" si="14"/>
        <v>0.7863461134137152</v>
      </c>
      <c r="P89" s="61">
        <f t="shared" si="19"/>
        <v>-332476.0899999994</v>
      </c>
      <c r="Q89" s="66"/>
    </row>
    <row r="90" spans="1:17" s="32" customFormat="1" ht="98.25" customHeight="1" outlineLevel="1">
      <c r="A90" s="24" t="s">
        <v>158</v>
      </c>
      <c r="B90" s="48" t="s">
        <v>159</v>
      </c>
      <c r="C90" s="49" t="s">
        <v>160</v>
      </c>
      <c r="D90" s="50" t="s">
        <v>158</v>
      </c>
      <c r="E90" s="51">
        <v>485335.25</v>
      </c>
      <c r="F90" s="51">
        <v>342695.83</v>
      </c>
      <c r="G90" s="58">
        <f>F90-E90</f>
        <v>-142639.41999999998</v>
      </c>
      <c r="H90" s="54">
        <f>F90/E90</f>
        <v>0.7061012568116576</v>
      </c>
      <c r="I90" s="51">
        <v>231800</v>
      </c>
      <c r="J90" s="51">
        <v>0</v>
      </c>
      <c r="K90" s="51">
        <f>183304.52+0.01</f>
        <v>183304.53</v>
      </c>
      <c r="L90" s="51">
        <f>K90-J90</f>
        <v>183304.53</v>
      </c>
      <c r="M90" s="54">
        <f t="shared" si="20"/>
        <v>-1.6250767144173752</v>
      </c>
      <c r="N90" s="51">
        <f>K90-I90</f>
        <v>-48495.47</v>
      </c>
      <c r="O90" s="54">
        <f t="shared" si="14"/>
        <v>0.7907874460742019</v>
      </c>
      <c r="P90" s="51">
        <f>K90-F90</f>
        <v>-159391.30000000002</v>
      </c>
      <c r="Q90" s="74"/>
    </row>
    <row r="91" spans="1:17" s="32" customFormat="1" ht="15.75" customHeight="1" hidden="1" outlineLevel="3">
      <c r="A91" s="24" t="s">
        <v>161</v>
      </c>
      <c r="B91" s="48"/>
      <c r="C91" s="49" t="s">
        <v>23</v>
      </c>
      <c r="D91" s="50" t="s">
        <v>161</v>
      </c>
      <c r="E91" s="51">
        <v>2890.68</v>
      </c>
      <c r="F91" s="51">
        <v>2890.68</v>
      </c>
      <c r="G91" s="58"/>
      <c r="H91" s="54">
        <f aca="true" t="shared" si="21" ref="H91:H130">F91/E91</f>
        <v>1</v>
      </c>
      <c r="I91" s="51">
        <v>33800</v>
      </c>
      <c r="J91" s="51"/>
      <c r="K91" s="51">
        <v>2890.68</v>
      </c>
      <c r="L91" s="51">
        <f aca="true" t="shared" si="22" ref="L91:L120">K91-J91</f>
        <v>2890.68</v>
      </c>
      <c r="M91" s="54" t="e">
        <f t="shared" si="20"/>
        <v>#DIV/0!</v>
      </c>
      <c r="N91" s="51">
        <f aca="true" t="shared" si="23" ref="N91:N106">K91-I91</f>
        <v>-30909.32</v>
      </c>
      <c r="O91" s="54">
        <f t="shared" si="14"/>
        <v>0.08552307692307692</v>
      </c>
      <c r="P91" s="51">
        <f aca="true" t="shared" si="24" ref="P91:P130">K91-F91</f>
        <v>0</v>
      </c>
      <c r="Q91" s="69"/>
    </row>
    <row r="92" spans="1:17" s="32" customFormat="1" ht="90" customHeight="1" hidden="1" outlineLevel="4">
      <c r="A92" s="24" t="s">
        <v>162</v>
      </c>
      <c r="B92" s="48"/>
      <c r="C92" s="49" t="s">
        <v>163</v>
      </c>
      <c r="D92" s="50" t="s">
        <v>162</v>
      </c>
      <c r="E92" s="51">
        <v>0</v>
      </c>
      <c r="F92" s="51">
        <v>2890.68</v>
      </c>
      <c r="G92" s="58"/>
      <c r="H92" s="54" t="e">
        <f t="shared" si="21"/>
        <v>#DIV/0!</v>
      </c>
      <c r="I92" s="51">
        <v>33800</v>
      </c>
      <c r="J92" s="51"/>
      <c r="K92" s="51">
        <v>2890.68</v>
      </c>
      <c r="L92" s="51">
        <f t="shared" si="22"/>
        <v>2890.68</v>
      </c>
      <c r="M92" s="54" t="e">
        <f t="shared" si="20"/>
        <v>#DIV/0!</v>
      </c>
      <c r="N92" s="51">
        <f t="shared" si="23"/>
        <v>-30909.32</v>
      </c>
      <c r="O92" s="54">
        <f t="shared" si="14"/>
        <v>0.08552307692307692</v>
      </c>
      <c r="P92" s="51">
        <f t="shared" si="24"/>
        <v>0</v>
      </c>
      <c r="Q92" s="69"/>
    </row>
    <row r="93" spans="1:17" s="32" customFormat="1" ht="90" customHeight="1" hidden="1" outlineLevel="5">
      <c r="A93" s="24" t="s">
        <v>162</v>
      </c>
      <c r="B93" s="48"/>
      <c r="C93" s="49" t="s">
        <v>164</v>
      </c>
      <c r="D93" s="50" t="s">
        <v>162</v>
      </c>
      <c r="E93" s="51">
        <v>2890.68</v>
      </c>
      <c r="F93" s="51">
        <v>0</v>
      </c>
      <c r="G93" s="58"/>
      <c r="H93" s="54">
        <f t="shared" si="21"/>
        <v>0</v>
      </c>
      <c r="I93" s="51">
        <v>33800</v>
      </c>
      <c r="J93" s="51"/>
      <c r="K93" s="51">
        <v>0</v>
      </c>
      <c r="L93" s="51">
        <f t="shared" si="22"/>
        <v>0</v>
      </c>
      <c r="M93" s="54" t="e">
        <f t="shared" si="20"/>
        <v>#DIV/0!</v>
      </c>
      <c r="N93" s="51">
        <f t="shared" si="23"/>
        <v>-33800</v>
      </c>
      <c r="O93" s="54">
        <f t="shared" si="14"/>
        <v>0</v>
      </c>
      <c r="P93" s="51">
        <f t="shared" si="24"/>
        <v>0</v>
      </c>
      <c r="Q93" s="69"/>
    </row>
    <row r="94" spans="1:17" s="32" customFormat="1" ht="90" customHeight="1" hidden="1" outlineLevel="5">
      <c r="A94" s="24" t="s">
        <v>165</v>
      </c>
      <c r="B94" s="48"/>
      <c r="C94" s="49" t="s">
        <v>164</v>
      </c>
      <c r="D94" s="50" t="s">
        <v>165</v>
      </c>
      <c r="E94" s="51">
        <v>53.23</v>
      </c>
      <c r="F94" s="51">
        <v>2890.68</v>
      </c>
      <c r="G94" s="58"/>
      <c r="H94" s="54">
        <f t="shared" si="21"/>
        <v>54.30546684200639</v>
      </c>
      <c r="I94" s="51">
        <v>0</v>
      </c>
      <c r="J94" s="51"/>
      <c r="K94" s="51">
        <v>2890.68</v>
      </c>
      <c r="L94" s="51">
        <f t="shared" si="22"/>
        <v>2890.68</v>
      </c>
      <c r="M94" s="54" t="e">
        <f t="shared" si="20"/>
        <v>#DIV/0!</v>
      </c>
      <c r="N94" s="51">
        <f t="shared" si="23"/>
        <v>2890.68</v>
      </c>
      <c r="O94" s="54" t="e">
        <f t="shared" si="14"/>
        <v>#DIV/0!</v>
      </c>
      <c r="P94" s="51">
        <f t="shared" si="24"/>
        <v>0</v>
      </c>
      <c r="Q94" s="69"/>
    </row>
    <row r="95" spans="1:17" s="32" customFormat="1" ht="15.75" customHeight="1" hidden="1" outlineLevel="3">
      <c r="A95" s="24" t="s">
        <v>166</v>
      </c>
      <c r="B95" s="48"/>
      <c r="C95" s="49" t="s">
        <v>23</v>
      </c>
      <c r="D95" s="50" t="s">
        <v>166</v>
      </c>
      <c r="E95" s="51">
        <v>53.23</v>
      </c>
      <c r="F95" s="51">
        <v>53.23</v>
      </c>
      <c r="G95" s="58"/>
      <c r="H95" s="54">
        <f t="shared" si="21"/>
        <v>1</v>
      </c>
      <c r="I95" s="51">
        <v>0</v>
      </c>
      <c r="J95" s="51"/>
      <c r="K95" s="51">
        <v>53.23</v>
      </c>
      <c r="L95" s="51">
        <f t="shared" si="22"/>
        <v>53.23</v>
      </c>
      <c r="M95" s="54" t="e">
        <f t="shared" si="20"/>
        <v>#DIV/0!</v>
      </c>
      <c r="N95" s="51">
        <f t="shared" si="23"/>
        <v>53.23</v>
      </c>
      <c r="O95" s="54" t="e">
        <f t="shared" si="14"/>
        <v>#DIV/0!</v>
      </c>
      <c r="P95" s="51">
        <f t="shared" si="24"/>
        <v>0</v>
      </c>
      <c r="Q95" s="69"/>
    </row>
    <row r="96" spans="1:17" s="32" customFormat="1" ht="90" customHeight="1" hidden="1" outlineLevel="4">
      <c r="A96" s="24" t="s">
        <v>167</v>
      </c>
      <c r="B96" s="48"/>
      <c r="C96" s="49" t="s">
        <v>168</v>
      </c>
      <c r="D96" s="50" t="s">
        <v>167</v>
      </c>
      <c r="E96" s="51">
        <v>53.23</v>
      </c>
      <c r="F96" s="51">
        <v>53.23</v>
      </c>
      <c r="G96" s="58"/>
      <c r="H96" s="54">
        <f t="shared" si="21"/>
        <v>1</v>
      </c>
      <c r="I96" s="51">
        <v>0</v>
      </c>
      <c r="J96" s="51"/>
      <c r="K96" s="51">
        <v>53.23</v>
      </c>
      <c r="L96" s="51">
        <f t="shared" si="22"/>
        <v>53.23</v>
      </c>
      <c r="M96" s="54" t="e">
        <f t="shared" si="20"/>
        <v>#DIV/0!</v>
      </c>
      <c r="N96" s="51">
        <f t="shared" si="23"/>
        <v>53.23</v>
      </c>
      <c r="O96" s="54" t="e">
        <f t="shared" si="14"/>
        <v>#DIV/0!</v>
      </c>
      <c r="P96" s="51">
        <f t="shared" si="24"/>
        <v>0</v>
      </c>
      <c r="Q96" s="69"/>
    </row>
    <row r="97" spans="1:17" s="32" customFormat="1" ht="90" customHeight="1" hidden="1" outlineLevel="5">
      <c r="A97" s="24" t="s">
        <v>169</v>
      </c>
      <c r="B97" s="48"/>
      <c r="C97" s="49" t="s">
        <v>170</v>
      </c>
      <c r="D97" s="50" t="s">
        <v>169</v>
      </c>
      <c r="E97" s="51">
        <v>481.81</v>
      </c>
      <c r="F97" s="51">
        <v>53.23</v>
      </c>
      <c r="G97" s="58"/>
      <c r="H97" s="54">
        <f t="shared" si="21"/>
        <v>0.11047923455303957</v>
      </c>
      <c r="I97" s="51">
        <v>0</v>
      </c>
      <c r="J97" s="51"/>
      <c r="K97" s="51">
        <v>53.23</v>
      </c>
      <c r="L97" s="51">
        <f t="shared" si="22"/>
        <v>53.23</v>
      </c>
      <c r="M97" s="54" t="e">
        <f t="shared" si="20"/>
        <v>#DIV/0!</v>
      </c>
      <c r="N97" s="51">
        <f t="shared" si="23"/>
        <v>53.23</v>
      </c>
      <c r="O97" s="54" t="e">
        <f t="shared" si="14"/>
        <v>#DIV/0!</v>
      </c>
      <c r="P97" s="51">
        <f t="shared" si="24"/>
        <v>0</v>
      </c>
      <c r="Q97" s="69"/>
    </row>
    <row r="98" spans="1:17" s="32" customFormat="1" ht="15.75" customHeight="1" hidden="1" outlineLevel="3">
      <c r="A98" s="24" t="s">
        <v>171</v>
      </c>
      <c r="B98" s="48"/>
      <c r="C98" s="49" t="s">
        <v>23</v>
      </c>
      <c r="D98" s="50" t="s">
        <v>171</v>
      </c>
      <c r="E98" s="51">
        <v>481.81</v>
      </c>
      <c r="F98" s="51">
        <v>481.81</v>
      </c>
      <c r="G98" s="58"/>
      <c r="H98" s="54">
        <f t="shared" si="21"/>
        <v>1</v>
      </c>
      <c r="I98" s="51">
        <v>59400</v>
      </c>
      <c r="J98" s="51"/>
      <c r="K98" s="51">
        <v>481.81</v>
      </c>
      <c r="L98" s="51">
        <f t="shared" si="22"/>
        <v>481.81</v>
      </c>
      <c r="M98" s="54" t="e">
        <f t="shared" si="20"/>
        <v>#DIV/0!</v>
      </c>
      <c r="N98" s="51">
        <f t="shared" si="23"/>
        <v>-58918.19</v>
      </c>
      <c r="O98" s="54">
        <f t="shared" si="14"/>
        <v>0.008111279461279462</v>
      </c>
      <c r="P98" s="51">
        <f t="shared" si="24"/>
        <v>0</v>
      </c>
      <c r="Q98" s="69"/>
    </row>
    <row r="99" spans="1:17" s="32" customFormat="1" ht="45" customHeight="1" hidden="1" outlineLevel="4">
      <c r="A99" s="24" t="s">
        <v>172</v>
      </c>
      <c r="B99" s="48"/>
      <c r="C99" s="49" t="s">
        <v>173</v>
      </c>
      <c r="D99" s="50" t="s">
        <v>172</v>
      </c>
      <c r="E99" s="51">
        <v>0</v>
      </c>
      <c r="F99" s="51">
        <v>481.81</v>
      </c>
      <c r="G99" s="58"/>
      <c r="H99" s="54" t="e">
        <f t="shared" si="21"/>
        <v>#DIV/0!</v>
      </c>
      <c r="I99" s="51">
        <v>59400</v>
      </c>
      <c r="J99" s="51"/>
      <c r="K99" s="51">
        <v>481.81</v>
      </c>
      <c r="L99" s="51">
        <f t="shared" si="22"/>
        <v>481.81</v>
      </c>
      <c r="M99" s="54" t="e">
        <f t="shared" si="20"/>
        <v>#DIV/0!</v>
      </c>
      <c r="N99" s="51">
        <f t="shared" si="23"/>
        <v>-58918.19</v>
      </c>
      <c r="O99" s="54">
        <f t="shared" si="14"/>
        <v>0.008111279461279462</v>
      </c>
      <c r="P99" s="51">
        <f t="shared" si="24"/>
        <v>0</v>
      </c>
      <c r="Q99" s="69"/>
    </row>
    <row r="100" spans="1:17" s="32" customFormat="1" ht="60" customHeight="1" hidden="1" outlineLevel="5">
      <c r="A100" s="24" t="s">
        <v>172</v>
      </c>
      <c r="B100" s="48"/>
      <c r="C100" s="49" t="s">
        <v>174</v>
      </c>
      <c r="D100" s="50" t="s">
        <v>172</v>
      </c>
      <c r="E100" s="51">
        <v>481.81</v>
      </c>
      <c r="F100" s="51">
        <v>0</v>
      </c>
      <c r="G100" s="58"/>
      <c r="H100" s="54">
        <f t="shared" si="21"/>
        <v>0</v>
      </c>
      <c r="I100" s="51">
        <v>59400</v>
      </c>
      <c r="J100" s="51"/>
      <c r="K100" s="51">
        <v>0</v>
      </c>
      <c r="L100" s="51">
        <f t="shared" si="22"/>
        <v>0</v>
      </c>
      <c r="M100" s="54" t="e">
        <f t="shared" si="20"/>
        <v>#DIV/0!</v>
      </c>
      <c r="N100" s="51">
        <f t="shared" si="23"/>
        <v>-59400</v>
      </c>
      <c r="O100" s="54">
        <f t="shared" si="14"/>
        <v>0</v>
      </c>
      <c r="P100" s="51">
        <f t="shared" si="24"/>
        <v>0</v>
      </c>
      <c r="Q100" s="69"/>
    </row>
    <row r="101" spans="1:17" s="32" customFormat="1" ht="60" customHeight="1" hidden="1" outlineLevel="5">
      <c r="A101" s="24" t="s">
        <v>175</v>
      </c>
      <c r="B101" s="48"/>
      <c r="C101" s="49" t="s">
        <v>176</v>
      </c>
      <c r="D101" s="50" t="s">
        <v>175</v>
      </c>
      <c r="E101" s="51">
        <v>39261.54</v>
      </c>
      <c r="F101" s="51">
        <v>481.81</v>
      </c>
      <c r="G101" s="58"/>
      <c r="H101" s="54">
        <f t="shared" si="21"/>
        <v>0.01227180594546215</v>
      </c>
      <c r="I101" s="51">
        <v>0</v>
      </c>
      <c r="J101" s="51"/>
      <c r="K101" s="51">
        <v>481.81</v>
      </c>
      <c r="L101" s="51">
        <f t="shared" si="22"/>
        <v>481.81</v>
      </c>
      <c r="M101" s="54" t="e">
        <f t="shared" si="20"/>
        <v>#DIV/0!</v>
      </c>
      <c r="N101" s="51">
        <f t="shared" si="23"/>
        <v>481.81</v>
      </c>
      <c r="O101" s="54" t="e">
        <f t="shared" si="14"/>
        <v>#DIV/0!</v>
      </c>
      <c r="P101" s="51">
        <f t="shared" si="24"/>
        <v>0</v>
      </c>
      <c r="Q101" s="69"/>
    </row>
    <row r="102" spans="1:17" s="32" customFormat="1" ht="15.75" customHeight="1" hidden="1" outlineLevel="3">
      <c r="A102" s="24" t="s">
        <v>177</v>
      </c>
      <c r="B102" s="48"/>
      <c r="C102" s="49" t="s">
        <v>23</v>
      </c>
      <c r="D102" s="50" t="s">
        <v>177</v>
      </c>
      <c r="E102" s="51">
        <v>39261.54</v>
      </c>
      <c r="F102" s="51">
        <v>39261.54</v>
      </c>
      <c r="G102" s="58"/>
      <c r="H102" s="54">
        <f t="shared" si="21"/>
        <v>1</v>
      </c>
      <c r="I102" s="51">
        <v>464900</v>
      </c>
      <c r="J102" s="51"/>
      <c r="K102" s="51">
        <v>39261.54</v>
      </c>
      <c r="L102" s="51">
        <f t="shared" si="22"/>
        <v>39261.54</v>
      </c>
      <c r="M102" s="54" t="e">
        <f t="shared" si="20"/>
        <v>#DIV/0!</v>
      </c>
      <c r="N102" s="51">
        <f t="shared" si="23"/>
        <v>-425638.46</v>
      </c>
      <c r="O102" s="54">
        <f t="shared" si="14"/>
        <v>0.0844515809851581</v>
      </c>
      <c r="P102" s="51">
        <f t="shared" si="24"/>
        <v>0</v>
      </c>
      <c r="Q102" s="69"/>
    </row>
    <row r="103" spans="1:17" s="32" customFormat="1" ht="60" customHeight="1" hidden="1" outlineLevel="4">
      <c r="A103" s="24" t="s">
        <v>178</v>
      </c>
      <c r="B103" s="48"/>
      <c r="C103" s="49" t="s">
        <v>179</v>
      </c>
      <c r="D103" s="50" t="s">
        <v>178</v>
      </c>
      <c r="E103" s="51">
        <v>0</v>
      </c>
      <c r="F103" s="51">
        <v>39261.54</v>
      </c>
      <c r="G103" s="58"/>
      <c r="H103" s="54" t="e">
        <f t="shared" si="21"/>
        <v>#DIV/0!</v>
      </c>
      <c r="I103" s="51">
        <v>464900</v>
      </c>
      <c r="J103" s="51"/>
      <c r="K103" s="51">
        <v>39261.54</v>
      </c>
      <c r="L103" s="51">
        <f t="shared" si="22"/>
        <v>39261.54</v>
      </c>
      <c r="M103" s="54" t="e">
        <f t="shared" si="20"/>
        <v>#DIV/0!</v>
      </c>
      <c r="N103" s="51">
        <f t="shared" si="23"/>
        <v>-425638.46</v>
      </c>
      <c r="O103" s="54">
        <f t="shared" si="14"/>
        <v>0.0844515809851581</v>
      </c>
      <c r="P103" s="51">
        <f t="shared" si="24"/>
        <v>0</v>
      </c>
      <c r="Q103" s="69"/>
    </row>
    <row r="104" spans="1:17" s="32" customFormat="1" ht="60" customHeight="1" hidden="1" outlineLevel="5">
      <c r="A104" s="24" t="s">
        <v>178</v>
      </c>
      <c r="B104" s="48"/>
      <c r="C104" s="49" t="s">
        <v>180</v>
      </c>
      <c r="D104" s="50" t="s">
        <v>178</v>
      </c>
      <c r="E104" s="51">
        <v>39261.54</v>
      </c>
      <c r="F104" s="51">
        <v>0</v>
      </c>
      <c r="G104" s="58"/>
      <c r="H104" s="54">
        <f t="shared" si="21"/>
        <v>0</v>
      </c>
      <c r="I104" s="51">
        <v>464900</v>
      </c>
      <c r="J104" s="51"/>
      <c r="K104" s="51">
        <v>0</v>
      </c>
      <c r="L104" s="51">
        <f t="shared" si="22"/>
        <v>0</v>
      </c>
      <c r="M104" s="54" t="e">
        <f t="shared" si="20"/>
        <v>#DIV/0!</v>
      </c>
      <c r="N104" s="51">
        <f t="shared" si="23"/>
        <v>-464900</v>
      </c>
      <c r="O104" s="54">
        <f t="shared" si="14"/>
        <v>0</v>
      </c>
      <c r="P104" s="51">
        <f t="shared" si="24"/>
        <v>0</v>
      </c>
      <c r="Q104" s="69"/>
    </row>
    <row r="105" spans="1:17" s="32" customFormat="1" ht="60" customHeight="1" hidden="1" outlineLevel="5">
      <c r="A105" s="24" t="s">
        <v>181</v>
      </c>
      <c r="B105" s="48"/>
      <c r="C105" s="49" t="s">
        <v>182</v>
      </c>
      <c r="D105" s="50" t="s">
        <v>181</v>
      </c>
      <c r="E105" s="51">
        <f>E106+E107</f>
        <v>10003098.77</v>
      </c>
      <c r="F105" s="51">
        <v>39261.54</v>
      </c>
      <c r="G105" s="58"/>
      <c r="H105" s="54">
        <f t="shared" si="21"/>
        <v>0.003924937752064204</v>
      </c>
      <c r="I105" s="51">
        <v>0</v>
      </c>
      <c r="J105" s="51"/>
      <c r="K105" s="51">
        <v>39261.54</v>
      </c>
      <c r="L105" s="51">
        <f t="shared" si="22"/>
        <v>39261.54</v>
      </c>
      <c r="M105" s="54" t="e">
        <f t="shared" si="20"/>
        <v>#DIV/0!</v>
      </c>
      <c r="N105" s="51">
        <f t="shared" si="23"/>
        <v>39261.54</v>
      </c>
      <c r="O105" s="54" t="e">
        <f t="shared" si="14"/>
        <v>#DIV/0!</v>
      </c>
      <c r="P105" s="51">
        <f t="shared" si="24"/>
        <v>0</v>
      </c>
      <c r="Q105" s="69"/>
    </row>
    <row r="106" spans="1:17" s="32" customFormat="1" ht="78.75" customHeight="1" outlineLevel="1" collapsed="1">
      <c r="A106" s="24" t="s">
        <v>183</v>
      </c>
      <c r="B106" s="48" t="s">
        <v>184</v>
      </c>
      <c r="C106" s="49" t="s">
        <v>185</v>
      </c>
      <c r="D106" s="50" t="s">
        <v>183</v>
      </c>
      <c r="E106" s="51">
        <f>E107+E108</f>
        <v>6949209.46</v>
      </c>
      <c r="F106" s="51">
        <f>F107+F108</f>
        <v>2389443.44</v>
      </c>
      <c r="G106" s="58">
        <f>G107+G108</f>
        <v>-4559766.02</v>
      </c>
      <c r="H106" s="54">
        <f t="shared" si="21"/>
        <v>0.3438439226438283</v>
      </c>
      <c r="I106" s="51">
        <f>I107+I108</f>
        <v>21746234.24</v>
      </c>
      <c r="J106" s="51">
        <f>J107+J108</f>
        <v>217229</v>
      </c>
      <c r="K106" s="51">
        <f>K107+K108</f>
        <v>20645466.04</v>
      </c>
      <c r="L106" s="51">
        <f t="shared" si="22"/>
        <v>20428237.04</v>
      </c>
      <c r="M106" s="54">
        <f t="shared" si="20"/>
        <v>-4.769155729617898</v>
      </c>
      <c r="N106" s="51">
        <f t="shared" si="23"/>
        <v>-1100768.1999999993</v>
      </c>
      <c r="O106" s="54">
        <f t="shared" si="14"/>
        <v>0.9493812037591663</v>
      </c>
      <c r="P106" s="51">
        <f t="shared" si="24"/>
        <v>18256022.599999998</v>
      </c>
      <c r="Q106" s="56"/>
    </row>
    <row r="107" spans="1:17" ht="62.25" customHeight="1" outlineLevel="2">
      <c r="A107" s="64" t="s">
        <v>186</v>
      </c>
      <c r="B107" s="65" t="s">
        <v>187</v>
      </c>
      <c r="C107" s="59" t="s">
        <v>188</v>
      </c>
      <c r="D107" s="60" t="s">
        <v>186</v>
      </c>
      <c r="E107" s="61">
        <v>3053889.31</v>
      </c>
      <c r="F107" s="61">
        <v>2146133.98</v>
      </c>
      <c r="G107" s="62">
        <f>F107-E107</f>
        <v>-907755.3300000001</v>
      </c>
      <c r="H107" s="63">
        <f t="shared" si="21"/>
        <v>0.702754344426452</v>
      </c>
      <c r="I107" s="61">
        <v>3335156.7</v>
      </c>
      <c r="J107" s="61">
        <v>217229</v>
      </c>
      <c r="K107" s="61">
        <f>2133698.46+10621.5</f>
        <v>2144319.96</v>
      </c>
      <c r="L107" s="61">
        <f t="shared" si="22"/>
        <v>1927090.96</v>
      </c>
      <c r="M107" s="63">
        <f t="shared" si="20"/>
        <v>-3.6740700822984977</v>
      </c>
      <c r="N107" s="61">
        <f>K107-I107</f>
        <v>-1190836.7400000002</v>
      </c>
      <c r="O107" s="63">
        <f t="shared" si="14"/>
        <v>0.6429442910433564</v>
      </c>
      <c r="P107" s="61">
        <f t="shared" si="24"/>
        <v>-1814.0200000000186</v>
      </c>
      <c r="Q107" s="74"/>
    </row>
    <row r="108" spans="1:17" ht="45.75" customHeight="1" outlineLevel="3">
      <c r="A108" s="64" t="s">
        <v>189</v>
      </c>
      <c r="B108" s="65" t="s">
        <v>190</v>
      </c>
      <c r="C108" s="59" t="s">
        <v>191</v>
      </c>
      <c r="D108" s="60" t="s">
        <v>192</v>
      </c>
      <c r="E108" s="62">
        <v>3895320.15</v>
      </c>
      <c r="F108" s="62">
        <v>243309.46</v>
      </c>
      <c r="G108" s="62">
        <f>F108-E108</f>
        <v>-3652010.69</v>
      </c>
      <c r="H108" s="63">
        <f t="shared" si="21"/>
        <v>0.062461993014874526</v>
      </c>
      <c r="I108" s="61">
        <v>18411077.54</v>
      </c>
      <c r="J108" s="61"/>
      <c r="K108" s="62">
        <v>18501146.08</v>
      </c>
      <c r="L108" s="61">
        <f t="shared" si="22"/>
        <v>18501146.08</v>
      </c>
      <c r="M108" s="63">
        <f t="shared" si="20"/>
        <v>-5.041353682346423</v>
      </c>
      <c r="N108" s="61">
        <f>K108-I108</f>
        <v>90068.5399999991</v>
      </c>
      <c r="O108" s="63">
        <f t="shared" si="14"/>
        <v>1.004892084116441</v>
      </c>
      <c r="P108" s="61">
        <f t="shared" si="24"/>
        <v>18257836.619999997</v>
      </c>
      <c r="Q108" s="66" t="s">
        <v>292</v>
      </c>
    </row>
    <row r="109" spans="1:17" s="32" customFormat="1" ht="75" customHeight="1" outlineLevel="1">
      <c r="A109" s="24" t="s">
        <v>193</v>
      </c>
      <c r="B109" s="48" t="s">
        <v>194</v>
      </c>
      <c r="C109" s="49" t="s">
        <v>195</v>
      </c>
      <c r="D109" s="50" t="s">
        <v>193</v>
      </c>
      <c r="E109" s="51">
        <f>E110+E111</f>
        <v>19228417.560000002</v>
      </c>
      <c r="F109" s="51">
        <f>F110+F111</f>
        <v>15387969.45</v>
      </c>
      <c r="G109" s="58">
        <f>G110+G111</f>
        <v>-3840448.1100000003</v>
      </c>
      <c r="H109" s="54">
        <f t="shared" si="21"/>
        <v>0.8002722741995623</v>
      </c>
      <c r="I109" s="51">
        <f>I110+I111</f>
        <v>24221136</v>
      </c>
      <c r="J109" s="51">
        <f>J110+J111</f>
        <v>200000</v>
      </c>
      <c r="K109" s="51">
        <f>K110+K111</f>
        <v>35653115.2</v>
      </c>
      <c r="L109" s="51">
        <f t="shared" si="22"/>
        <v>35453115.2</v>
      </c>
      <c r="M109" s="54">
        <f t="shared" si="20"/>
        <v>-6.306851519990983</v>
      </c>
      <c r="N109" s="51">
        <f>N110+N111</f>
        <v>11431979.2</v>
      </c>
      <c r="O109" s="54">
        <f t="shared" si="14"/>
        <v>1.4719836096870107</v>
      </c>
      <c r="P109" s="51">
        <f t="shared" si="24"/>
        <v>20265145.750000004</v>
      </c>
      <c r="Q109" s="56"/>
    </row>
    <row r="110" spans="1:17" ht="75.75" customHeight="1" outlineLevel="2">
      <c r="A110" s="64" t="s">
        <v>196</v>
      </c>
      <c r="B110" s="65" t="s">
        <v>197</v>
      </c>
      <c r="C110" s="59" t="s">
        <v>198</v>
      </c>
      <c r="D110" s="60" t="s">
        <v>196</v>
      </c>
      <c r="E110" s="61">
        <v>7574993.66</v>
      </c>
      <c r="F110" s="61">
        <v>7391911.66</v>
      </c>
      <c r="G110" s="62">
        <f aca="true" t="shared" si="25" ref="G110:G130">F110-E110</f>
        <v>-183082</v>
      </c>
      <c r="H110" s="63">
        <f t="shared" si="21"/>
        <v>0.9758307388471135</v>
      </c>
      <c r="I110" s="61">
        <v>18286836</v>
      </c>
      <c r="J110" s="61"/>
      <c r="K110" s="61">
        <f>19038706.8+74160.79</f>
        <v>19112867.59</v>
      </c>
      <c r="L110" s="61">
        <f t="shared" si="22"/>
        <v>19112867.59</v>
      </c>
      <c r="M110" s="63">
        <f t="shared" si="20"/>
        <v>-99.88330911831856</v>
      </c>
      <c r="N110" s="61">
        <f>K110-I110</f>
        <v>826031.5899999999</v>
      </c>
      <c r="O110" s="63">
        <f t="shared" si="14"/>
        <v>1.0451708316299222</v>
      </c>
      <c r="P110" s="61">
        <f t="shared" si="24"/>
        <v>11720955.93</v>
      </c>
      <c r="Q110" s="73"/>
    </row>
    <row r="111" spans="1:17" ht="36" customHeight="1" outlineLevel="2">
      <c r="A111" s="64" t="s">
        <v>199</v>
      </c>
      <c r="B111" s="65" t="s">
        <v>200</v>
      </c>
      <c r="C111" s="59" t="s">
        <v>201</v>
      </c>
      <c r="D111" s="60" t="s">
        <v>199</v>
      </c>
      <c r="E111" s="61">
        <v>11653423.9</v>
      </c>
      <c r="F111" s="61">
        <v>7996057.79</v>
      </c>
      <c r="G111" s="62">
        <f t="shared" si="25"/>
        <v>-3657366.1100000003</v>
      </c>
      <c r="H111" s="63">
        <f t="shared" si="21"/>
        <v>0.6861552328839595</v>
      </c>
      <c r="I111" s="61">
        <v>5934300</v>
      </c>
      <c r="J111" s="61">
        <v>200000</v>
      </c>
      <c r="K111" s="61">
        <v>16540247.61</v>
      </c>
      <c r="L111" s="61">
        <f t="shared" si="22"/>
        <v>16340247.61</v>
      </c>
      <c r="M111" s="63">
        <f t="shared" si="20"/>
        <v>-1.6225611058664289</v>
      </c>
      <c r="N111" s="61">
        <f>K111-I111</f>
        <v>10605947.61</v>
      </c>
      <c r="O111" s="63">
        <f t="shared" si="14"/>
        <v>2.7872280825034124</v>
      </c>
      <c r="P111" s="61">
        <f t="shared" si="24"/>
        <v>8544189.82</v>
      </c>
      <c r="Q111" s="66"/>
    </row>
    <row r="112" spans="1:17" s="32" customFormat="1" ht="106.5" customHeight="1" outlineLevel="1">
      <c r="A112" s="24" t="s">
        <v>202</v>
      </c>
      <c r="B112" s="48" t="s">
        <v>203</v>
      </c>
      <c r="C112" s="49" t="s">
        <v>204</v>
      </c>
      <c r="D112" s="50" t="s">
        <v>202</v>
      </c>
      <c r="E112" s="51">
        <v>1668058.37</v>
      </c>
      <c r="F112" s="51">
        <v>1288162.65</v>
      </c>
      <c r="G112" s="58">
        <f t="shared" si="25"/>
        <v>-379895.7200000002</v>
      </c>
      <c r="H112" s="54">
        <f t="shared" si="21"/>
        <v>0.7722527419708939</v>
      </c>
      <c r="I112" s="51">
        <v>3801835.05</v>
      </c>
      <c r="J112" s="51">
        <v>35150</v>
      </c>
      <c r="K112" s="51">
        <f>4621100.47-393.39+759.98</f>
        <v>4621467.0600000005</v>
      </c>
      <c r="L112" s="51">
        <f t="shared" si="22"/>
        <v>4586317.0600000005</v>
      </c>
      <c r="M112" s="54">
        <f t="shared" si="20"/>
        <v>-10.007575368314225</v>
      </c>
      <c r="N112" s="51">
        <f>K112-I112</f>
        <v>819632.0100000007</v>
      </c>
      <c r="O112" s="54">
        <f t="shared" si="14"/>
        <v>1.2155885248098812</v>
      </c>
      <c r="P112" s="51">
        <f t="shared" si="24"/>
        <v>3333304.4100000006</v>
      </c>
      <c r="Q112" s="74" t="s">
        <v>291</v>
      </c>
    </row>
    <row r="113" spans="1:17" s="32" customFormat="1" ht="30.75" customHeight="1" outlineLevel="1">
      <c r="A113" s="24" t="s">
        <v>205</v>
      </c>
      <c r="B113" s="48" t="s">
        <v>206</v>
      </c>
      <c r="C113" s="49" t="s">
        <v>207</v>
      </c>
      <c r="D113" s="50" t="s">
        <v>205</v>
      </c>
      <c r="E113" s="51">
        <f>E114+E115+E116+E117+E118+E119+E120</f>
        <v>7747287.5</v>
      </c>
      <c r="F113" s="51">
        <f>F114+F115+F116+F117+F118+F119+F120</f>
        <v>5795077.18</v>
      </c>
      <c r="G113" s="58">
        <f>G114+G115+G116+G117+G118+G119</f>
        <v>-1969748.9199999995</v>
      </c>
      <c r="H113" s="75">
        <f t="shared" si="21"/>
        <v>0.7480136989881943</v>
      </c>
      <c r="I113" s="51">
        <f>I114+I115+I116+I117+I118+I119+I120</f>
        <v>14004782.08</v>
      </c>
      <c r="J113" s="51">
        <f>J114+J115+J116+J117+J118+J119+J120</f>
        <v>918137.48</v>
      </c>
      <c r="K113" s="51">
        <f>K114+K115+K116+K117+K118+K119+K120</f>
        <v>13039963.75</v>
      </c>
      <c r="L113" s="51">
        <f>L114+L115+L116+L117+L118+L119+L120</f>
        <v>12121826.27</v>
      </c>
      <c r="M113" s="51" t="e">
        <f>M114+M115+M116+M117+M118+M119+M120</f>
        <v>#DIV/0!</v>
      </c>
      <c r="N113" s="51">
        <f>N114+N115+N116+N117+N118+N119+N120</f>
        <v>-964818.3299999995</v>
      </c>
      <c r="O113" s="54">
        <f t="shared" si="14"/>
        <v>0.9311079369540608</v>
      </c>
      <c r="P113" s="51">
        <f t="shared" si="24"/>
        <v>7244886.57</v>
      </c>
      <c r="Q113" s="56"/>
    </row>
    <row r="114" spans="1:17" s="4" customFormat="1" ht="72" customHeight="1" outlineLevel="1">
      <c r="A114" s="76"/>
      <c r="B114" s="77" t="s">
        <v>208</v>
      </c>
      <c r="C114" s="59" t="s">
        <v>209</v>
      </c>
      <c r="D114" s="60" t="s">
        <v>210</v>
      </c>
      <c r="E114" s="78">
        <v>0</v>
      </c>
      <c r="F114" s="78">
        <v>17538.6</v>
      </c>
      <c r="G114" s="62"/>
      <c r="H114" s="63"/>
      <c r="I114" s="79"/>
      <c r="J114" s="79"/>
      <c r="K114" s="78">
        <f>116067.6-115915.6</f>
        <v>152</v>
      </c>
      <c r="L114" s="61">
        <f t="shared" si="22"/>
        <v>152</v>
      </c>
      <c r="M114" s="63"/>
      <c r="N114" s="61">
        <f aca="true" t="shared" si="26" ref="N114:N120">K114-I114</f>
        <v>152</v>
      </c>
      <c r="O114" s="63"/>
      <c r="P114" s="61">
        <f t="shared" si="24"/>
        <v>-17386.6</v>
      </c>
      <c r="Q114" s="80"/>
    </row>
    <row r="115" spans="1:17" ht="94.5" customHeight="1" outlineLevel="5">
      <c r="A115" s="64" t="s">
        <v>211</v>
      </c>
      <c r="B115" s="65" t="s">
        <v>212</v>
      </c>
      <c r="C115" s="59" t="s">
        <v>213</v>
      </c>
      <c r="D115" s="60" t="s">
        <v>211</v>
      </c>
      <c r="E115" s="61">
        <v>898909.4</v>
      </c>
      <c r="F115" s="61">
        <v>566364.6</v>
      </c>
      <c r="G115" s="62">
        <f t="shared" si="25"/>
        <v>-332544.80000000005</v>
      </c>
      <c r="H115" s="63">
        <f t="shared" si="21"/>
        <v>0.6300574896646981</v>
      </c>
      <c r="I115" s="61">
        <v>936864.56</v>
      </c>
      <c r="J115" s="61"/>
      <c r="K115" s="61">
        <f>723149.2+116067.6</f>
        <v>839216.7999999999</v>
      </c>
      <c r="L115" s="61">
        <f t="shared" si="22"/>
        <v>839216.7999999999</v>
      </c>
      <c r="M115" s="63">
        <f>I115/G115</f>
        <v>-2.817258185964718</v>
      </c>
      <c r="N115" s="61">
        <f t="shared" si="26"/>
        <v>-97647.76000000013</v>
      </c>
      <c r="O115" s="63">
        <f t="shared" si="14"/>
        <v>0.8957717431428934</v>
      </c>
      <c r="P115" s="61">
        <f t="shared" si="24"/>
        <v>272852.19999999995</v>
      </c>
      <c r="Q115" s="66" t="s">
        <v>259</v>
      </c>
    </row>
    <row r="116" spans="1:17" ht="61.5" customHeight="1" outlineLevel="5">
      <c r="A116" s="64" t="s">
        <v>214</v>
      </c>
      <c r="B116" s="65" t="s">
        <v>215</v>
      </c>
      <c r="C116" s="59" t="s">
        <v>216</v>
      </c>
      <c r="D116" s="60" t="s">
        <v>214</v>
      </c>
      <c r="E116" s="61">
        <v>91219.38</v>
      </c>
      <c r="F116" s="61">
        <v>86355.49</v>
      </c>
      <c r="G116" s="62">
        <f t="shared" si="25"/>
        <v>-4863.889999999999</v>
      </c>
      <c r="H116" s="63">
        <f t="shared" si="21"/>
        <v>0.9466792034762789</v>
      </c>
      <c r="I116" s="61">
        <v>33077</v>
      </c>
      <c r="J116" s="61">
        <v>4255</v>
      </c>
      <c r="K116" s="61"/>
      <c r="L116" s="61">
        <f t="shared" si="22"/>
        <v>-4255</v>
      </c>
      <c r="M116" s="63">
        <f>I116/G116</f>
        <v>-6.800523860531386</v>
      </c>
      <c r="N116" s="61">
        <f t="shared" si="26"/>
        <v>-33077</v>
      </c>
      <c r="O116" s="63">
        <f t="shared" si="14"/>
        <v>0</v>
      </c>
      <c r="P116" s="61">
        <f t="shared" si="24"/>
        <v>-86355.49</v>
      </c>
      <c r="Q116" s="66" t="s">
        <v>293</v>
      </c>
    </row>
    <row r="117" spans="1:17" ht="79.5" customHeight="1" outlineLevel="5">
      <c r="A117" s="64" t="s">
        <v>217</v>
      </c>
      <c r="B117" s="65" t="s">
        <v>218</v>
      </c>
      <c r="C117" s="59" t="s">
        <v>219</v>
      </c>
      <c r="D117" s="60" t="s">
        <v>217</v>
      </c>
      <c r="E117" s="61">
        <v>0</v>
      </c>
      <c r="F117" s="61"/>
      <c r="G117" s="62">
        <f t="shared" si="25"/>
        <v>0</v>
      </c>
      <c r="H117" s="63"/>
      <c r="I117" s="61">
        <v>6000000</v>
      </c>
      <c r="J117" s="61"/>
      <c r="K117" s="61">
        <v>6000000</v>
      </c>
      <c r="L117" s="61">
        <f t="shared" si="22"/>
        <v>6000000</v>
      </c>
      <c r="M117" s="63"/>
      <c r="N117" s="61">
        <f t="shared" si="26"/>
        <v>0</v>
      </c>
      <c r="O117" s="63"/>
      <c r="P117" s="61">
        <f t="shared" si="24"/>
        <v>6000000</v>
      </c>
      <c r="Q117" s="66"/>
    </row>
    <row r="118" spans="1:17" ht="45" customHeight="1" hidden="1" outlineLevel="5">
      <c r="A118" s="64" t="s">
        <v>220</v>
      </c>
      <c r="B118" s="65"/>
      <c r="C118" s="59" t="s">
        <v>221</v>
      </c>
      <c r="D118" s="60" t="s">
        <v>220</v>
      </c>
      <c r="E118" s="61"/>
      <c r="F118" s="61"/>
      <c r="G118" s="62">
        <f t="shared" si="25"/>
        <v>0</v>
      </c>
      <c r="H118" s="63" t="e">
        <f t="shared" si="21"/>
        <v>#DIV/0!</v>
      </c>
      <c r="I118" s="61"/>
      <c r="J118" s="61"/>
      <c r="K118" s="61"/>
      <c r="L118" s="61">
        <f t="shared" si="22"/>
        <v>0</v>
      </c>
      <c r="M118" s="63" t="e">
        <f aca="true" t="shared" si="27" ref="M118:M127">I118/G118</f>
        <v>#DIV/0!</v>
      </c>
      <c r="N118" s="61">
        <f t="shared" si="26"/>
        <v>0</v>
      </c>
      <c r="O118" s="63" t="e">
        <f t="shared" si="14"/>
        <v>#DIV/0!</v>
      </c>
      <c r="P118" s="61">
        <f t="shared" si="24"/>
        <v>0</v>
      </c>
      <c r="Q118" s="81" t="s">
        <v>222</v>
      </c>
    </row>
    <row r="119" spans="1:17" ht="117" customHeight="1" outlineLevel="5">
      <c r="A119" s="64" t="s">
        <v>223</v>
      </c>
      <c r="B119" s="82" t="s">
        <v>224</v>
      </c>
      <c r="C119" s="83" t="s">
        <v>225</v>
      </c>
      <c r="D119" s="84" t="s">
        <v>223</v>
      </c>
      <c r="E119" s="85">
        <v>5165454.72</v>
      </c>
      <c r="F119" s="85">
        <v>3533114.49</v>
      </c>
      <c r="G119" s="86">
        <f t="shared" si="25"/>
        <v>-1632340.2299999995</v>
      </c>
      <c r="H119" s="87">
        <f t="shared" si="21"/>
        <v>0.6839890545008979</v>
      </c>
      <c r="I119" s="85">
        <f>4745840.52+1000000</f>
        <v>5745840.52</v>
      </c>
      <c r="J119" s="85">
        <v>913882.48</v>
      </c>
      <c r="K119" s="85">
        <v>4911594.95</v>
      </c>
      <c r="L119" s="85">
        <f t="shared" si="22"/>
        <v>3997712.47</v>
      </c>
      <c r="M119" s="87">
        <f t="shared" si="27"/>
        <v>-3.5200017829616326</v>
      </c>
      <c r="N119" s="85">
        <f t="shared" si="26"/>
        <v>-834245.5699999994</v>
      </c>
      <c r="O119" s="87">
        <f t="shared" si="14"/>
        <v>0.8548087843551914</v>
      </c>
      <c r="P119" s="85">
        <f t="shared" si="24"/>
        <v>1378480.46</v>
      </c>
      <c r="Q119" s="88" t="s">
        <v>287</v>
      </c>
    </row>
    <row r="120" spans="1:17" ht="47.25" customHeight="1" outlineLevel="5" thickBot="1">
      <c r="A120" s="64"/>
      <c r="B120" s="65" t="s">
        <v>226</v>
      </c>
      <c r="C120" s="89" t="s">
        <v>227</v>
      </c>
      <c r="D120" s="90"/>
      <c r="E120" s="91">
        <v>1591704</v>
      </c>
      <c r="F120" s="91">
        <v>1591704</v>
      </c>
      <c r="G120" s="92">
        <f t="shared" si="25"/>
        <v>0</v>
      </c>
      <c r="H120" s="93">
        <f t="shared" si="21"/>
        <v>1</v>
      </c>
      <c r="I120" s="91">
        <v>1289000</v>
      </c>
      <c r="J120" s="91"/>
      <c r="K120" s="91">
        <f>1319000-30000</f>
        <v>1289000</v>
      </c>
      <c r="L120" s="85">
        <f t="shared" si="22"/>
        <v>1289000</v>
      </c>
      <c r="M120" s="93" t="e">
        <f t="shared" si="27"/>
        <v>#DIV/0!</v>
      </c>
      <c r="N120" s="85">
        <f t="shared" si="26"/>
        <v>0</v>
      </c>
      <c r="O120" s="93"/>
      <c r="P120" s="85">
        <f t="shared" si="24"/>
        <v>-302704</v>
      </c>
      <c r="Q120" s="94" t="s">
        <v>269</v>
      </c>
    </row>
    <row r="121" spans="1:17" s="16" customFormat="1" ht="31.5" customHeight="1" thickBot="1">
      <c r="A121" s="9" t="s">
        <v>228</v>
      </c>
      <c r="B121" s="10" t="s">
        <v>226</v>
      </c>
      <c r="C121" s="95" t="s">
        <v>229</v>
      </c>
      <c r="D121" s="96" t="s">
        <v>228</v>
      </c>
      <c r="E121" s="99">
        <f>E122+E126+E127+E128+E129+E130</f>
        <v>3087425772.07</v>
      </c>
      <c r="F121" s="99">
        <f>F122+F126+F127+F128+F129+F130</f>
        <v>1809323908.74</v>
      </c>
      <c r="G121" s="97">
        <f t="shared" si="25"/>
        <v>-1278101863.3300002</v>
      </c>
      <c r="H121" s="98">
        <f t="shared" si="21"/>
        <v>0.58602992988781</v>
      </c>
      <c r="I121" s="99">
        <f>I122+I126+I127+I128+I129+I130</f>
        <v>2653132650.4199996</v>
      </c>
      <c r="J121" s="100" t="s">
        <v>230</v>
      </c>
      <c r="K121" s="99">
        <f>K122+K126+K127+K128+K129+K130</f>
        <v>1856208418.0299997</v>
      </c>
      <c r="L121" s="100" t="s">
        <v>230</v>
      </c>
      <c r="M121" s="98">
        <f t="shared" si="27"/>
        <v>-2.07583818359161</v>
      </c>
      <c r="N121" s="99">
        <f>N122+N126+N127+N130</f>
        <v>-691247499.9</v>
      </c>
      <c r="O121" s="98">
        <f t="shared" si="14"/>
        <v>0.6996289528667765</v>
      </c>
      <c r="P121" s="99">
        <f t="shared" si="24"/>
        <v>46884509.28999972</v>
      </c>
      <c r="Q121" s="101"/>
    </row>
    <row r="122" spans="1:17" ht="39.75" customHeight="1" outlineLevel="2">
      <c r="A122" s="64" t="s">
        <v>231</v>
      </c>
      <c r="B122" s="65" t="s">
        <v>232</v>
      </c>
      <c r="C122" s="102" t="s">
        <v>233</v>
      </c>
      <c r="D122" s="103" t="s">
        <v>231</v>
      </c>
      <c r="E122" s="104">
        <v>473098326.55</v>
      </c>
      <c r="F122" s="104">
        <v>345390051.55</v>
      </c>
      <c r="G122" s="105">
        <f t="shared" si="25"/>
        <v>-127708275</v>
      </c>
      <c r="H122" s="106">
        <f t="shared" si="21"/>
        <v>0.7300597617174134</v>
      </c>
      <c r="I122" s="104">
        <v>508358928.62</v>
      </c>
      <c r="J122" s="107" t="s">
        <v>230</v>
      </c>
      <c r="K122" s="104">
        <v>383934357.62</v>
      </c>
      <c r="L122" s="107" t="s">
        <v>230</v>
      </c>
      <c r="M122" s="106">
        <f t="shared" si="27"/>
        <v>-3.980626381649897</v>
      </c>
      <c r="N122" s="85">
        <f aca="true" t="shared" si="28" ref="N122:N129">K122-I122</f>
        <v>-124424571</v>
      </c>
      <c r="O122" s="106">
        <f t="shared" si="14"/>
        <v>0.7552426760010588</v>
      </c>
      <c r="P122" s="104">
        <f t="shared" si="24"/>
        <v>38544306.06999999</v>
      </c>
      <c r="Q122" s="108"/>
    </row>
    <row r="123" spans="1:17" ht="42.75" customHeight="1" hidden="1" outlineLevel="3">
      <c r="A123" s="64" t="s">
        <v>234</v>
      </c>
      <c r="B123" s="65"/>
      <c r="C123" s="59" t="s">
        <v>235</v>
      </c>
      <c r="D123" s="60" t="s">
        <v>234</v>
      </c>
      <c r="E123" s="61"/>
      <c r="F123" s="61"/>
      <c r="G123" s="105">
        <f t="shared" si="25"/>
        <v>0</v>
      </c>
      <c r="H123" s="106" t="e">
        <f t="shared" si="21"/>
        <v>#DIV/0!</v>
      </c>
      <c r="I123" s="61"/>
      <c r="J123" s="61"/>
      <c r="K123" s="61"/>
      <c r="L123" s="61"/>
      <c r="M123" s="106" t="e">
        <f t="shared" si="27"/>
        <v>#DIV/0!</v>
      </c>
      <c r="N123" s="85">
        <f t="shared" si="28"/>
        <v>0</v>
      </c>
      <c r="O123" s="106" t="e">
        <f t="shared" si="14"/>
        <v>#DIV/0!</v>
      </c>
      <c r="P123" s="104">
        <f t="shared" si="24"/>
        <v>0</v>
      </c>
      <c r="Q123" s="109"/>
    </row>
    <row r="124" spans="1:17" ht="71.25" customHeight="1" hidden="1" outlineLevel="4">
      <c r="A124" s="64" t="s">
        <v>236</v>
      </c>
      <c r="B124" s="65"/>
      <c r="C124" s="59" t="s">
        <v>237</v>
      </c>
      <c r="D124" s="60" t="s">
        <v>236</v>
      </c>
      <c r="E124" s="61"/>
      <c r="F124" s="61"/>
      <c r="G124" s="105">
        <f t="shared" si="25"/>
        <v>0</v>
      </c>
      <c r="H124" s="106" t="e">
        <f t="shared" si="21"/>
        <v>#DIV/0!</v>
      </c>
      <c r="I124" s="61"/>
      <c r="J124" s="61"/>
      <c r="K124" s="61"/>
      <c r="L124" s="61"/>
      <c r="M124" s="106" t="e">
        <f t="shared" si="27"/>
        <v>#DIV/0!</v>
      </c>
      <c r="N124" s="85">
        <f t="shared" si="28"/>
        <v>0</v>
      </c>
      <c r="O124" s="106" t="e">
        <f t="shared" si="14"/>
        <v>#DIV/0!</v>
      </c>
      <c r="P124" s="104">
        <f t="shared" si="24"/>
        <v>0</v>
      </c>
      <c r="Q124" s="109"/>
    </row>
    <row r="125" spans="1:17" ht="71.25" customHeight="1" hidden="1" outlineLevel="5">
      <c r="A125" s="64" t="s">
        <v>236</v>
      </c>
      <c r="B125" s="65"/>
      <c r="C125" s="59" t="s">
        <v>238</v>
      </c>
      <c r="D125" s="60" t="s">
        <v>236</v>
      </c>
      <c r="E125" s="61"/>
      <c r="F125" s="61"/>
      <c r="G125" s="105">
        <f t="shared" si="25"/>
        <v>0</v>
      </c>
      <c r="H125" s="106" t="e">
        <f t="shared" si="21"/>
        <v>#DIV/0!</v>
      </c>
      <c r="I125" s="61"/>
      <c r="J125" s="61"/>
      <c r="K125" s="61"/>
      <c r="L125" s="61"/>
      <c r="M125" s="106" t="e">
        <f t="shared" si="27"/>
        <v>#DIV/0!</v>
      </c>
      <c r="N125" s="85">
        <f t="shared" si="28"/>
        <v>0</v>
      </c>
      <c r="O125" s="106" t="e">
        <f t="shared" si="14"/>
        <v>#DIV/0!</v>
      </c>
      <c r="P125" s="104">
        <f t="shared" si="24"/>
        <v>0</v>
      </c>
      <c r="Q125" s="109"/>
    </row>
    <row r="126" spans="1:17" ht="21" customHeight="1" outlineLevel="2" collapsed="1">
      <c r="A126" s="64" t="s">
        <v>239</v>
      </c>
      <c r="B126" s="65" t="s">
        <v>240</v>
      </c>
      <c r="C126" s="59" t="s">
        <v>241</v>
      </c>
      <c r="D126" s="60" t="s">
        <v>242</v>
      </c>
      <c r="E126" s="110">
        <v>1985905932.37</v>
      </c>
      <c r="F126" s="110">
        <v>1015917170.35</v>
      </c>
      <c r="G126" s="105">
        <f t="shared" si="25"/>
        <v>-969988762.0199999</v>
      </c>
      <c r="H126" s="106">
        <f t="shared" si="21"/>
        <v>0.5115635911000046</v>
      </c>
      <c r="I126" s="61">
        <v>1367888706.59</v>
      </c>
      <c r="J126" s="107" t="s">
        <v>230</v>
      </c>
      <c r="K126" s="110">
        <v>942759381.52</v>
      </c>
      <c r="L126" s="107" t="s">
        <v>230</v>
      </c>
      <c r="M126" s="106">
        <f t="shared" si="27"/>
        <v>-1.4102108809398721</v>
      </c>
      <c r="N126" s="85">
        <f t="shared" si="28"/>
        <v>-425129325.06999993</v>
      </c>
      <c r="O126" s="106">
        <f t="shared" si="14"/>
        <v>0.6892076650520773</v>
      </c>
      <c r="P126" s="104">
        <f t="shared" si="24"/>
        <v>-73157788.83000004</v>
      </c>
      <c r="Q126" s="109"/>
    </row>
    <row r="127" spans="1:17" ht="22.5" customHeight="1" outlineLevel="5">
      <c r="A127" s="64" t="s">
        <v>243</v>
      </c>
      <c r="B127" s="65" t="s">
        <v>244</v>
      </c>
      <c r="C127" s="59" t="s">
        <v>245</v>
      </c>
      <c r="D127" s="60" t="s">
        <v>246</v>
      </c>
      <c r="E127" s="61">
        <v>520683169.05</v>
      </c>
      <c r="F127" s="61">
        <v>386894918.15</v>
      </c>
      <c r="G127" s="105">
        <f t="shared" si="25"/>
        <v>-133788250.90000004</v>
      </c>
      <c r="H127" s="106">
        <f t="shared" si="21"/>
        <v>0.7430524763377695</v>
      </c>
      <c r="I127" s="61">
        <v>564952483.03</v>
      </c>
      <c r="J127" s="107" t="s">
        <v>230</v>
      </c>
      <c r="K127" s="61">
        <v>423298687.58</v>
      </c>
      <c r="L127" s="107" t="s">
        <v>230</v>
      </c>
      <c r="M127" s="106">
        <f t="shared" si="27"/>
        <v>-4.222736146332262</v>
      </c>
      <c r="N127" s="85">
        <f t="shared" si="28"/>
        <v>-141653795.45</v>
      </c>
      <c r="O127" s="106">
        <f t="shared" si="14"/>
        <v>0.7492642307008359</v>
      </c>
      <c r="P127" s="104">
        <f t="shared" si="24"/>
        <v>36403769.43000001</v>
      </c>
      <c r="Q127" s="109"/>
    </row>
    <row r="128" spans="1:17" ht="22.5" customHeight="1" outlineLevel="5">
      <c r="A128" s="64"/>
      <c r="B128" s="65" t="s">
        <v>247</v>
      </c>
      <c r="C128" s="59" t="s">
        <v>248</v>
      </c>
      <c r="D128" s="60"/>
      <c r="E128" s="61">
        <v>110208359.34</v>
      </c>
      <c r="F128" s="61">
        <v>59760386.05</v>
      </c>
      <c r="G128" s="105">
        <f t="shared" si="25"/>
        <v>-50447973.29000001</v>
      </c>
      <c r="H128" s="106">
        <f t="shared" si="21"/>
        <v>0.5422491216445323</v>
      </c>
      <c r="I128" s="61">
        <v>229235816.93</v>
      </c>
      <c r="J128" s="107" t="s">
        <v>230</v>
      </c>
      <c r="K128" s="61">
        <v>123559084.44</v>
      </c>
      <c r="L128" s="107" t="s">
        <v>230</v>
      </c>
      <c r="M128" s="106"/>
      <c r="N128" s="85">
        <f t="shared" si="28"/>
        <v>-105676732.49000001</v>
      </c>
      <c r="O128" s="106"/>
      <c r="P128" s="104">
        <f t="shared" si="24"/>
        <v>63798698.39</v>
      </c>
      <c r="Q128" s="109"/>
    </row>
    <row r="129" spans="1:17" ht="54" customHeight="1" outlineLevel="5">
      <c r="A129" s="64"/>
      <c r="B129" s="65" t="s">
        <v>249</v>
      </c>
      <c r="C129" s="59" t="s">
        <v>250</v>
      </c>
      <c r="D129" s="60"/>
      <c r="E129" s="85">
        <v>1669917.56</v>
      </c>
      <c r="F129" s="85">
        <v>1654717.56</v>
      </c>
      <c r="G129" s="105"/>
      <c r="H129" s="106"/>
      <c r="I129" s="61">
        <v>936811.59</v>
      </c>
      <c r="J129" s="107" t="s">
        <v>230</v>
      </c>
      <c r="K129" s="85">
        <v>936811.59</v>
      </c>
      <c r="L129" s="107" t="s">
        <v>230</v>
      </c>
      <c r="M129" s="106"/>
      <c r="N129" s="85">
        <f t="shared" si="28"/>
        <v>0</v>
      </c>
      <c r="O129" s="106"/>
      <c r="P129" s="104">
        <f t="shared" si="24"/>
        <v>-717905.9700000001</v>
      </c>
      <c r="Q129" s="109"/>
    </row>
    <row r="130" spans="1:17" ht="40.5" customHeight="1" outlineLevel="1">
      <c r="A130" s="64" t="s">
        <v>251</v>
      </c>
      <c r="B130" s="65" t="s">
        <v>252</v>
      </c>
      <c r="C130" s="59" t="s">
        <v>253</v>
      </c>
      <c r="D130" s="60" t="s">
        <v>251</v>
      </c>
      <c r="E130" s="85">
        <v>-4139932.8</v>
      </c>
      <c r="F130" s="85">
        <v>-293334.92</v>
      </c>
      <c r="G130" s="105">
        <f t="shared" si="25"/>
        <v>3846597.88</v>
      </c>
      <c r="H130" s="106">
        <f t="shared" si="21"/>
        <v>0.07085499552070024</v>
      </c>
      <c r="I130" s="61">
        <v>-18240096.34</v>
      </c>
      <c r="J130" s="107" t="s">
        <v>230</v>
      </c>
      <c r="K130" s="85">
        <v>-18279904.72</v>
      </c>
      <c r="L130" s="107" t="s">
        <v>230</v>
      </c>
      <c r="M130" s="63"/>
      <c r="N130" s="85">
        <f>K130-I130</f>
        <v>-39808.37999999896</v>
      </c>
      <c r="O130" s="63"/>
      <c r="P130" s="104">
        <f t="shared" si="24"/>
        <v>-17986569.799999997</v>
      </c>
      <c r="Q130" s="109"/>
    </row>
    <row r="131" spans="1:17" s="118" customFormat="1" ht="23.25" customHeight="1">
      <c r="A131" s="506" t="s">
        <v>254</v>
      </c>
      <c r="B131" s="507"/>
      <c r="C131" s="508"/>
      <c r="D131" s="509"/>
      <c r="E131" s="115">
        <f>E121+E11</f>
        <v>3513539007.31</v>
      </c>
      <c r="F131" s="115">
        <f>F121+F11</f>
        <v>2086963792.81</v>
      </c>
      <c r="G131" s="111">
        <f>F131-E131</f>
        <v>-1426575214.5</v>
      </c>
      <c r="H131" s="112">
        <f>F131/E131</f>
        <v>0.5939776927104048</v>
      </c>
      <c r="I131" s="113">
        <f>I121+I11</f>
        <v>3053412840.6099997</v>
      </c>
      <c r="J131" s="114" t="s">
        <v>230</v>
      </c>
      <c r="K131" s="115">
        <f>K121+K11</f>
        <v>2174277406.4999995</v>
      </c>
      <c r="L131" s="114" t="s">
        <v>230</v>
      </c>
      <c r="M131" s="112">
        <f>I131/G131</f>
        <v>-2.1403798478863867</v>
      </c>
      <c r="N131" s="115">
        <f>N121+N11</f>
        <v>-773458701.62</v>
      </c>
      <c r="O131" s="112">
        <f>K131/I131</f>
        <v>0.7120810450465095</v>
      </c>
      <c r="P131" s="116">
        <f>K131-F131</f>
        <v>87313613.68999958</v>
      </c>
      <c r="Q131" s="117"/>
    </row>
    <row r="132" spans="1:17" s="129" customFormat="1" ht="24.75" customHeight="1">
      <c r="A132" s="119"/>
      <c r="B132" s="120">
        <v>46</v>
      </c>
      <c r="C132" s="121" t="s">
        <v>255</v>
      </c>
      <c r="D132" s="122"/>
      <c r="E132" s="123">
        <v>39027</v>
      </c>
      <c r="F132" s="123">
        <v>1710.08</v>
      </c>
      <c r="G132" s="124"/>
      <c r="H132" s="125"/>
      <c r="I132" s="126"/>
      <c r="J132" s="126"/>
      <c r="K132" s="123">
        <v>-33300.36</v>
      </c>
      <c r="L132" s="126"/>
      <c r="M132" s="125"/>
      <c r="N132" s="123"/>
      <c r="O132" s="125"/>
      <c r="P132" s="127"/>
      <c r="Q132" s="128"/>
    </row>
    <row r="133" spans="1:17" s="118" customFormat="1" ht="26.25" customHeight="1" thickBot="1">
      <c r="A133" s="130"/>
      <c r="B133" s="131"/>
      <c r="C133" s="131"/>
      <c r="D133" s="131"/>
      <c r="E133" s="136">
        <f>E131++E132</f>
        <v>3513578034.31</v>
      </c>
      <c r="F133" s="136">
        <f>F131++F132</f>
        <v>2086965502.8899999</v>
      </c>
      <c r="G133" s="132">
        <f>F133-E133</f>
        <v>-1426612531.42</v>
      </c>
      <c r="H133" s="133">
        <f>F133/E133</f>
        <v>0.5939715818208205</v>
      </c>
      <c r="I133" s="134">
        <f>I131++I132</f>
        <v>3053412840.6099997</v>
      </c>
      <c r="J133" s="135" t="s">
        <v>230</v>
      </c>
      <c r="K133" s="136">
        <f>K131++K132</f>
        <v>2174244106.1399994</v>
      </c>
      <c r="L133" s="137" t="s">
        <v>230</v>
      </c>
      <c r="M133" s="133">
        <f>I133/G133</f>
        <v>-2.1403238604463537</v>
      </c>
      <c r="N133" s="136">
        <f>N131++N132</f>
        <v>-773458701.62</v>
      </c>
      <c r="O133" s="133">
        <f>K133/I133</f>
        <v>0.7120701390990538</v>
      </c>
      <c r="P133" s="132">
        <f>K133-F133</f>
        <v>87278603.24999952</v>
      </c>
      <c r="Q133" s="138"/>
    </row>
    <row r="134" ht="15">
      <c r="E134" s="139"/>
    </row>
    <row r="137" ht="15">
      <c r="E137" s="139"/>
    </row>
  </sheetData>
  <sheetProtection/>
  <mergeCells count="26">
    <mergeCell ref="P7:P9"/>
    <mergeCell ref="M8:M9"/>
    <mergeCell ref="N8:N9"/>
    <mergeCell ref="O8:O9"/>
    <mergeCell ref="A1:D1"/>
    <mergeCell ref="A2:D2"/>
    <mergeCell ref="A3:E3"/>
    <mergeCell ref="A4:Q4"/>
    <mergeCell ref="A5:D5"/>
    <mergeCell ref="A6:Q6"/>
    <mergeCell ref="A131:D131"/>
    <mergeCell ref="Q7:Q9"/>
    <mergeCell ref="A8:A9"/>
    <mergeCell ref="E8:E9"/>
    <mergeCell ref="F8:F9"/>
    <mergeCell ref="G8:G9"/>
    <mergeCell ref="H8:H9"/>
    <mergeCell ref="I8:I9"/>
    <mergeCell ref="J8:J9"/>
    <mergeCell ref="K8:K9"/>
    <mergeCell ref="L8:L9"/>
    <mergeCell ref="B7:B9"/>
    <mergeCell ref="C7:C9"/>
    <mergeCell ref="D7:D9"/>
    <mergeCell ref="E7:H7"/>
    <mergeCell ref="I7:O7"/>
  </mergeCells>
  <printOptions horizontalCentered="1"/>
  <pageMargins left="0" right="0" top="0.1968503937007874" bottom="0" header="0.3937007874015748" footer="0.3937007874015748"/>
  <pageSetup blackAndWhite="1" errors="blank" fitToHeight="0" fitToWidth="1" horizontalDpi="600" verticalDpi="600" orientation="landscape" paperSize="9" scale="56" r:id="rId1"/>
  <rowBreaks count="2" manualBreakCount="2">
    <brk id="109" max="16" man="1"/>
    <brk id="115" max="16" man="1"/>
  </rowBreaks>
</worksheet>
</file>

<file path=xl/worksheets/sheet3.xml><?xml version="1.0" encoding="utf-8"?>
<worksheet xmlns="http://schemas.openxmlformats.org/spreadsheetml/2006/main" xmlns:r="http://schemas.openxmlformats.org/officeDocument/2006/relationships">
  <sheetPr>
    <tabColor theme="0" tint="-0.04997999966144562"/>
    <pageSetUpPr fitToPage="1"/>
  </sheetPr>
  <dimension ref="A1:Q135"/>
  <sheetViews>
    <sheetView showGridLines="0" showZeros="0" view="pageBreakPreview" zoomScale="85" zoomScaleNormal="75" zoomScaleSheetLayoutView="85" zoomScalePageLayoutView="0" workbookViewId="0" topLeftCell="B1">
      <pane ySplit="7" topLeftCell="A8" activePane="bottomLeft" state="frozen"/>
      <selection pane="topLeft" activeCell="A1" sqref="A1"/>
      <selection pane="bottomLeft" activeCell="K78" sqref="K78"/>
    </sheetView>
  </sheetViews>
  <sheetFormatPr defaultColWidth="9.140625" defaultRowHeight="15" outlineLevelRow="5"/>
  <cols>
    <col min="1" max="1" width="9.140625" style="350" hidden="1" customWidth="1"/>
    <col min="2" max="2" width="9.28125" style="350" customWidth="1"/>
    <col min="3" max="3" width="62.421875" style="351" customWidth="1"/>
    <col min="4" max="4" width="18.00390625" style="350" hidden="1" customWidth="1"/>
    <col min="5" max="5" width="21.421875" style="350" hidden="1" customWidth="1"/>
    <col min="6" max="6" width="32.28125" style="350" customWidth="1"/>
    <col min="7" max="7" width="20.57421875" style="350" hidden="1" customWidth="1"/>
    <col min="8" max="8" width="10.28125" style="350" hidden="1" customWidth="1"/>
    <col min="9" max="9" width="20.28125" style="350" hidden="1" customWidth="1"/>
    <col min="10" max="10" width="17.57421875" style="350" hidden="1" customWidth="1"/>
    <col min="11" max="11" width="29.57421875" style="350" customWidth="1"/>
    <col min="12" max="12" width="19.140625" style="350" hidden="1" customWidth="1"/>
    <col min="13" max="13" width="14.28125" style="350" hidden="1" customWidth="1"/>
    <col min="14" max="14" width="21.140625" style="350" hidden="1" customWidth="1"/>
    <col min="15" max="15" width="13.8515625" style="350" hidden="1" customWidth="1"/>
    <col min="16" max="16" width="33.28125" style="350" customWidth="1"/>
    <col min="17" max="17" width="50.28125" style="351" hidden="1" customWidth="1"/>
    <col min="18" max="16384" width="9.140625" style="350" customWidth="1"/>
  </cols>
  <sheetData>
    <row r="1" spans="1:4" ht="13.5" customHeight="1">
      <c r="A1" s="500"/>
      <c r="B1" s="500"/>
      <c r="C1" s="501"/>
      <c r="D1" s="501"/>
    </row>
    <row r="2" spans="1:4" ht="15" customHeight="1" hidden="1">
      <c r="A2" s="500"/>
      <c r="B2" s="500"/>
      <c r="C2" s="501"/>
      <c r="D2" s="501"/>
    </row>
    <row r="3" spans="1:5" ht="18" customHeight="1">
      <c r="A3" s="500"/>
      <c r="B3" s="500"/>
      <c r="C3" s="500"/>
      <c r="D3" s="500"/>
      <c r="E3" s="500"/>
    </row>
    <row r="4" spans="1:17" ht="39" customHeight="1">
      <c r="A4" s="502" t="s">
        <v>318</v>
      </c>
      <c r="B4" s="502"/>
      <c r="C4" s="502"/>
      <c r="D4" s="502"/>
      <c r="E4" s="502"/>
      <c r="F4" s="502"/>
      <c r="G4" s="502"/>
      <c r="H4" s="502"/>
      <c r="I4" s="502"/>
      <c r="J4" s="502"/>
      <c r="K4" s="502"/>
      <c r="L4" s="502"/>
      <c r="M4" s="502"/>
      <c r="N4" s="502"/>
      <c r="O4" s="502"/>
      <c r="P4" s="502"/>
      <c r="Q4" s="502"/>
    </row>
    <row r="5" spans="1:4" ht="0.75" customHeight="1">
      <c r="A5" s="503"/>
      <c r="B5" s="503"/>
      <c r="C5" s="504"/>
      <c r="D5" s="504"/>
    </row>
    <row r="6" spans="1:17" ht="30.75" customHeight="1" thickBot="1">
      <c r="A6" s="505" t="s">
        <v>309</v>
      </c>
      <c r="B6" s="505"/>
      <c r="C6" s="505"/>
      <c r="D6" s="505"/>
      <c r="E6" s="505"/>
      <c r="F6" s="505"/>
      <c r="G6" s="505"/>
      <c r="H6" s="505"/>
      <c r="I6" s="505"/>
      <c r="J6" s="505"/>
      <c r="K6" s="505"/>
      <c r="L6" s="505"/>
      <c r="M6" s="505"/>
      <c r="N6" s="505"/>
      <c r="O6" s="505"/>
      <c r="P6" s="505"/>
      <c r="Q6" s="505"/>
    </row>
    <row r="7" spans="1:17" s="455" customFormat="1" ht="82.5" customHeight="1">
      <c r="A7" s="448" t="s">
        <v>5</v>
      </c>
      <c r="B7" s="449"/>
      <c r="C7" s="450" t="s">
        <v>308</v>
      </c>
      <c r="D7" s="450"/>
      <c r="E7" s="451" t="s">
        <v>261</v>
      </c>
      <c r="F7" s="452" t="s">
        <v>319</v>
      </c>
      <c r="G7" s="452" t="s">
        <v>6</v>
      </c>
      <c r="H7" s="452" t="s">
        <v>7</v>
      </c>
      <c r="I7" s="452" t="s">
        <v>8</v>
      </c>
      <c r="J7" s="452" t="s">
        <v>9</v>
      </c>
      <c r="K7" s="452" t="s">
        <v>320</v>
      </c>
      <c r="L7" s="452" t="s">
        <v>304</v>
      </c>
      <c r="M7" s="452" t="s">
        <v>11</v>
      </c>
      <c r="N7" s="452" t="s">
        <v>305</v>
      </c>
      <c r="O7" s="452" t="s">
        <v>13</v>
      </c>
      <c r="P7" s="453" t="s">
        <v>303</v>
      </c>
      <c r="Q7" s="454"/>
    </row>
    <row r="8" spans="1:17" ht="21" customHeight="1">
      <c r="A8" s="410"/>
      <c r="B8" s="411">
        <v>1</v>
      </c>
      <c r="C8" s="412">
        <v>2</v>
      </c>
      <c r="D8" s="413">
        <v>2</v>
      </c>
      <c r="E8" s="413">
        <v>9</v>
      </c>
      <c r="F8" s="413">
        <v>3</v>
      </c>
      <c r="G8" s="413">
        <v>5</v>
      </c>
      <c r="H8" s="413">
        <v>6</v>
      </c>
      <c r="I8" s="413">
        <v>7</v>
      </c>
      <c r="J8" s="413">
        <v>8</v>
      </c>
      <c r="K8" s="413">
        <v>4</v>
      </c>
      <c r="L8" s="413">
        <v>10</v>
      </c>
      <c r="M8" s="413">
        <v>11</v>
      </c>
      <c r="N8" s="413">
        <v>12</v>
      </c>
      <c r="O8" s="413">
        <v>13</v>
      </c>
      <c r="P8" s="413">
        <v>5</v>
      </c>
      <c r="Q8" s="414">
        <v>15</v>
      </c>
    </row>
    <row r="9" spans="1:17" s="359" customFormat="1" ht="50.25" customHeight="1" hidden="1" thickBot="1">
      <c r="A9" s="353" t="s">
        <v>14</v>
      </c>
      <c r="B9" s="354" t="s">
        <v>15</v>
      </c>
      <c r="C9" s="355" t="s">
        <v>277</v>
      </c>
      <c r="D9" s="356" t="s">
        <v>14</v>
      </c>
      <c r="E9" s="357">
        <f>E10+E78</f>
        <v>426113235.23999995</v>
      </c>
      <c r="F9" s="463">
        <v>219.8</v>
      </c>
      <c r="G9" s="463"/>
      <c r="H9" s="464"/>
      <c r="I9" s="463"/>
      <c r="J9" s="463"/>
      <c r="K9" s="463">
        <v>264.3</v>
      </c>
      <c r="L9" s="463">
        <f>K9-J9</f>
        <v>264.3</v>
      </c>
      <c r="M9" s="464" t="e">
        <f>K9/J9</f>
        <v>#DIV/0!</v>
      </c>
      <c r="N9" s="463">
        <f>K9-I9</f>
        <v>264.3</v>
      </c>
      <c r="O9" s="464" t="e">
        <f>K9/I9</f>
        <v>#DIV/0!</v>
      </c>
      <c r="P9" s="465">
        <f>K9-F9</f>
        <v>44.5</v>
      </c>
      <c r="Q9" s="358"/>
    </row>
    <row r="10" spans="1:17" s="359" customFormat="1" ht="39.75" customHeight="1">
      <c r="A10" s="353"/>
      <c r="B10" s="360" t="s">
        <v>307</v>
      </c>
      <c r="C10" s="361" t="s">
        <v>18</v>
      </c>
      <c r="D10" s="362"/>
      <c r="E10" s="363">
        <f>E11+E37+E38+E60+E64+E74</f>
        <v>352618682.34999996</v>
      </c>
      <c r="F10" s="466">
        <v>204.7</v>
      </c>
      <c r="G10" s="466"/>
      <c r="H10" s="467"/>
      <c r="I10" s="466"/>
      <c r="J10" s="466"/>
      <c r="K10" s="466">
        <v>200.9</v>
      </c>
      <c r="L10" s="466"/>
      <c r="M10" s="467"/>
      <c r="N10" s="466"/>
      <c r="O10" s="467"/>
      <c r="P10" s="466">
        <f>K10-F10</f>
        <v>-3.799999999999983</v>
      </c>
      <c r="Q10" s="364"/>
    </row>
    <row r="11" spans="1:17" ht="52.5" customHeight="1" outlineLevel="2">
      <c r="A11" s="376" t="s">
        <v>19</v>
      </c>
      <c r="B11" s="380" t="s">
        <v>310</v>
      </c>
      <c r="C11" s="415" t="s">
        <v>21</v>
      </c>
      <c r="D11" s="416" t="s">
        <v>19</v>
      </c>
      <c r="E11" s="417">
        <v>190630093.23</v>
      </c>
      <c r="F11" s="468">
        <v>112.6</v>
      </c>
      <c r="G11" s="469"/>
      <c r="H11" s="470"/>
      <c r="I11" s="471"/>
      <c r="J11" s="472"/>
      <c r="K11" s="468">
        <v>120.4</v>
      </c>
      <c r="L11" s="471"/>
      <c r="M11" s="470"/>
      <c r="N11" s="471"/>
      <c r="O11" s="470"/>
      <c r="P11" s="471">
        <f>K11-F11</f>
        <v>7.800000000000011</v>
      </c>
      <c r="Q11" s="366" t="s">
        <v>266</v>
      </c>
    </row>
    <row r="12" spans="1:17" ht="6.75" customHeight="1" hidden="1" outlineLevel="2">
      <c r="A12" s="376"/>
      <c r="B12" s="418"/>
      <c r="C12" s="419"/>
      <c r="D12" s="420"/>
      <c r="E12" s="395"/>
      <c r="F12" s="473"/>
      <c r="G12" s="474"/>
      <c r="H12" s="475"/>
      <c r="I12" s="476"/>
      <c r="J12" s="477"/>
      <c r="K12" s="477"/>
      <c r="L12" s="476"/>
      <c r="M12" s="475"/>
      <c r="N12" s="476"/>
      <c r="O12" s="475"/>
      <c r="P12" s="471">
        <f aca="true" t="shared" si="0" ref="P12:P64">K12-F12</f>
        <v>0</v>
      </c>
      <c r="Q12" s="367"/>
    </row>
    <row r="13" spans="1:17" ht="15.75" customHeight="1" hidden="1" outlineLevel="3">
      <c r="A13" s="376" t="s">
        <v>22</v>
      </c>
      <c r="B13" s="418"/>
      <c r="C13" s="393" t="s">
        <v>23</v>
      </c>
      <c r="D13" s="421" t="s">
        <v>22</v>
      </c>
      <c r="E13" s="372"/>
      <c r="F13" s="478"/>
      <c r="G13" s="479"/>
      <c r="H13" s="480"/>
      <c r="I13" s="478"/>
      <c r="J13" s="478"/>
      <c r="K13" s="478"/>
      <c r="L13" s="478"/>
      <c r="M13" s="481"/>
      <c r="N13" s="478"/>
      <c r="O13" s="481"/>
      <c r="P13" s="471">
        <f t="shared" si="0"/>
        <v>0</v>
      </c>
      <c r="Q13" s="422"/>
    </row>
    <row r="14" spans="1:17" ht="210" customHeight="1" hidden="1" outlineLevel="4">
      <c r="A14" s="376" t="s">
        <v>24</v>
      </c>
      <c r="B14" s="377"/>
      <c r="C14" s="370" t="s">
        <v>25</v>
      </c>
      <c r="D14" s="423" t="s">
        <v>24</v>
      </c>
      <c r="E14" s="372"/>
      <c r="F14" s="483"/>
      <c r="G14" s="484"/>
      <c r="H14" s="485"/>
      <c r="I14" s="483"/>
      <c r="J14" s="483"/>
      <c r="K14" s="483"/>
      <c r="L14" s="483"/>
      <c r="M14" s="486"/>
      <c r="N14" s="483"/>
      <c r="O14" s="486"/>
      <c r="P14" s="471">
        <f t="shared" si="0"/>
        <v>0</v>
      </c>
      <c r="Q14" s="378"/>
    </row>
    <row r="15" spans="1:17" ht="210" customHeight="1" hidden="1" outlineLevel="5">
      <c r="A15" s="376" t="s">
        <v>24</v>
      </c>
      <c r="B15" s="377"/>
      <c r="C15" s="370" t="s">
        <v>26</v>
      </c>
      <c r="D15" s="423" t="s">
        <v>24</v>
      </c>
      <c r="E15" s="372"/>
      <c r="F15" s="483"/>
      <c r="G15" s="484"/>
      <c r="H15" s="485"/>
      <c r="I15" s="483"/>
      <c r="J15" s="483"/>
      <c r="K15" s="483"/>
      <c r="L15" s="483"/>
      <c r="M15" s="486"/>
      <c r="N15" s="483"/>
      <c r="O15" s="486"/>
      <c r="P15" s="471">
        <f t="shared" si="0"/>
        <v>0</v>
      </c>
      <c r="Q15" s="378"/>
    </row>
    <row r="16" spans="1:17" ht="210" customHeight="1" hidden="1" outlineLevel="5">
      <c r="A16" s="376" t="s">
        <v>27</v>
      </c>
      <c r="B16" s="377"/>
      <c r="C16" s="370" t="s">
        <v>28</v>
      </c>
      <c r="D16" s="423" t="s">
        <v>27</v>
      </c>
      <c r="E16" s="372"/>
      <c r="F16" s="483"/>
      <c r="G16" s="484"/>
      <c r="H16" s="485"/>
      <c r="I16" s="483"/>
      <c r="J16" s="483"/>
      <c r="K16" s="483"/>
      <c r="L16" s="483"/>
      <c r="M16" s="486"/>
      <c r="N16" s="483"/>
      <c r="O16" s="486"/>
      <c r="P16" s="471">
        <f t="shared" si="0"/>
        <v>0</v>
      </c>
      <c r="Q16" s="378"/>
    </row>
    <row r="17" spans="1:17" ht="210" customHeight="1" hidden="1" outlineLevel="5">
      <c r="A17" s="376" t="s">
        <v>29</v>
      </c>
      <c r="B17" s="377"/>
      <c r="C17" s="370" t="s">
        <v>26</v>
      </c>
      <c r="D17" s="423" t="s">
        <v>29</v>
      </c>
      <c r="E17" s="372"/>
      <c r="F17" s="483"/>
      <c r="G17" s="484"/>
      <c r="H17" s="485"/>
      <c r="I17" s="483"/>
      <c r="J17" s="483"/>
      <c r="K17" s="483"/>
      <c r="L17" s="483"/>
      <c r="M17" s="486"/>
      <c r="N17" s="483"/>
      <c r="O17" s="486"/>
      <c r="P17" s="471">
        <f t="shared" si="0"/>
        <v>0</v>
      </c>
      <c r="Q17" s="378"/>
    </row>
    <row r="18" spans="1:17" ht="210" customHeight="1" hidden="1" outlineLevel="5">
      <c r="A18" s="376" t="s">
        <v>30</v>
      </c>
      <c r="B18" s="377"/>
      <c r="C18" s="370" t="s">
        <v>26</v>
      </c>
      <c r="D18" s="423" t="s">
        <v>30</v>
      </c>
      <c r="E18" s="372"/>
      <c r="F18" s="483"/>
      <c r="G18" s="484"/>
      <c r="H18" s="485"/>
      <c r="I18" s="483"/>
      <c r="J18" s="483"/>
      <c r="K18" s="483"/>
      <c r="L18" s="483"/>
      <c r="M18" s="486"/>
      <c r="N18" s="483"/>
      <c r="O18" s="486"/>
      <c r="P18" s="471">
        <f t="shared" si="0"/>
        <v>0</v>
      </c>
      <c r="Q18" s="378"/>
    </row>
    <row r="19" spans="1:17" ht="210" customHeight="1" hidden="1" outlineLevel="5">
      <c r="A19" s="376" t="s">
        <v>31</v>
      </c>
      <c r="B19" s="377"/>
      <c r="C19" s="370" t="s">
        <v>28</v>
      </c>
      <c r="D19" s="423" t="s">
        <v>31</v>
      </c>
      <c r="E19" s="372"/>
      <c r="F19" s="483"/>
      <c r="G19" s="484"/>
      <c r="H19" s="485"/>
      <c r="I19" s="483"/>
      <c r="J19" s="483"/>
      <c r="K19" s="483"/>
      <c r="L19" s="483"/>
      <c r="M19" s="486"/>
      <c r="N19" s="483"/>
      <c r="O19" s="486"/>
      <c r="P19" s="471">
        <f t="shared" si="0"/>
        <v>0</v>
      </c>
      <c r="Q19" s="378"/>
    </row>
    <row r="20" spans="1:17" ht="15.75" customHeight="1" hidden="1" outlineLevel="3">
      <c r="A20" s="376" t="s">
        <v>32</v>
      </c>
      <c r="B20" s="377"/>
      <c r="C20" s="370" t="s">
        <v>23</v>
      </c>
      <c r="D20" s="423" t="s">
        <v>32</v>
      </c>
      <c r="E20" s="372"/>
      <c r="F20" s="483"/>
      <c r="G20" s="484"/>
      <c r="H20" s="485"/>
      <c r="I20" s="483"/>
      <c r="J20" s="483"/>
      <c r="K20" s="483"/>
      <c r="L20" s="483"/>
      <c r="M20" s="486"/>
      <c r="N20" s="483"/>
      <c r="O20" s="486"/>
      <c r="P20" s="471">
        <f t="shared" si="0"/>
        <v>0</v>
      </c>
      <c r="Q20" s="378"/>
    </row>
    <row r="21" spans="1:17" ht="330" customHeight="1" hidden="1" outlineLevel="4">
      <c r="A21" s="376" t="s">
        <v>33</v>
      </c>
      <c r="B21" s="377"/>
      <c r="C21" s="370" t="s">
        <v>34</v>
      </c>
      <c r="D21" s="423" t="s">
        <v>33</v>
      </c>
      <c r="E21" s="372"/>
      <c r="F21" s="483"/>
      <c r="G21" s="484"/>
      <c r="H21" s="485"/>
      <c r="I21" s="483"/>
      <c r="J21" s="483"/>
      <c r="K21" s="483"/>
      <c r="L21" s="483"/>
      <c r="M21" s="486"/>
      <c r="N21" s="483"/>
      <c r="O21" s="486"/>
      <c r="P21" s="471">
        <f t="shared" si="0"/>
        <v>0</v>
      </c>
      <c r="Q21" s="378"/>
    </row>
    <row r="22" spans="1:17" ht="330" customHeight="1" hidden="1" outlineLevel="5">
      <c r="A22" s="376" t="s">
        <v>33</v>
      </c>
      <c r="B22" s="377"/>
      <c r="C22" s="370" t="s">
        <v>35</v>
      </c>
      <c r="D22" s="423" t="s">
        <v>33</v>
      </c>
      <c r="E22" s="372"/>
      <c r="F22" s="483"/>
      <c r="G22" s="484"/>
      <c r="H22" s="485"/>
      <c r="I22" s="483"/>
      <c r="J22" s="483"/>
      <c r="K22" s="483"/>
      <c r="L22" s="483"/>
      <c r="M22" s="486"/>
      <c r="N22" s="483"/>
      <c r="O22" s="486"/>
      <c r="P22" s="471">
        <f t="shared" si="0"/>
        <v>0</v>
      </c>
      <c r="Q22" s="378"/>
    </row>
    <row r="23" spans="1:17" ht="330" customHeight="1" hidden="1" outlineLevel="5">
      <c r="A23" s="376" t="s">
        <v>36</v>
      </c>
      <c r="B23" s="377"/>
      <c r="C23" s="370" t="s">
        <v>35</v>
      </c>
      <c r="D23" s="423" t="s">
        <v>36</v>
      </c>
      <c r="E23" s="372"/>
      <c r="F23" s="483"/>
      <c r="G23" s="484"/>
      <c r="H23" s="485"/>
      <c r="I23" s="483"/>
      <c r="J23" s="483"/>
      <c r="K23" s="483"/>
      <c r="L23" s="483"/>
      <c r="M23" s="486"/>
      <c r="N23" s="483"/>
      <c r="O23" s="486"/>
      <c r="P23" s="471">
        <f t="shared" si="0"/>
        <v>0</v>
      </c>
      <c r="Q23" s="378"/>
    </row>
    <row r="24" spans="1:17" ht="15.75" customHeight="1" hidden="1" outlineLevel="5">
      <c r="A24" s="376" t="s">
        <v>37</v>
      </c>
      <c r="B24" s="377"/>
      <c r="C24" s="370">
        <v>1.82101020200121E+19</v>
      </c>
      <c r="D24" s="423" t="s">
        <v>37</v>
      </c>
      <c r="E24" s="372"/>
      <c r="F24" s="483"/>
      <c r="G24" s="484"/>
      <c r="H24" s="485"/>
      <c r="I24" s="483"/>
      <c r="J24" s="483"/>
      <c r="K24" s="483"/>
      <c r="L24" s="483"/>
      <c r="M24" s="486"/>
      <c r="N24" s="483"/>
      <c r="O24" s="486"/>
      <c r="P24" s="471">
        <f t="shared" si="0"/>
        <v>0</v>
      </c>
      <c r="Q24" s="378"/>
    </row>
    <row r="25" spans="1:17" ht="330" customHeight="1" hidden="1" outlineLevel="5">
      <c r="A25" s="376" t="s">
        <v>38</v>
      </c>
      <c r="B25" s="377"/>
      <c r="C25" s="370" t="s">
        <v>35</v>
      </c>
      <c r="D25" s="423" t="s">
        <v>38</v>
      </c>
      <c r="E25" s="372"/>
      <c r="F25" s="483"/>
      <c r="G25" s="484"/>
      <c r="H25" s="485"/>
      <c r="I25" s="483"/>
      <c r="J25" s="483"/>
      <c r="K25" s="483"/>
      <c r="L25" s="483"/>
      <c r="M25" s="486"/>
      <c r="N25" s="483"/>
      <c r="O25" s="486"/>
      <c r="P25" s="471">
        <f t="shared" si="0"/>
        <v>0</v>
      </c>
      <c r="Q25" s="378"/>
    </row>
    <row r="26" spans="1:17" ht="15.75" customHeight="1" hidden="1" outlineLevel="3">
      <c r="A26" s="376" t="s">
        <v>39</v>
      </c>
      <c r="B26" s="377"/>
      <c r="C26" s="370" t="s">
        <v>23</v>
      </c>
      <c r="D26" s="423" t="s">
        <v>39</v>
      </c>
      <c r="E26" s="372"/>
      <c r="F26" s="483"/>
      <c r="G26" s="484"/>
      <c r="H26" s="485"/>
      <c r="I26" s="483"/>
      <c r="J26" s="483"/>
      <c r="K26" s="483"/>
      <c r="L26" s="483"/>
      <c r="M26" s="486"/>
      <c r="N26" s="483"/>
      <c r="O26" s="486"/>
      <c r="P26" s="471">
        <f t="shared" si="0"/>
        <v>0</v>
      </c>
      <c r="Q26" s="378"/>
    </row>
    <row r="27" spans="1:17" ht="120" customHeight="1" hidden="1" outlineLevel="4">
      <c r="A27" s="376" t="s">
        <v>40</v>
      </c>
      <c r="B27" s="377"/>
      <c r="C27" s="370" t="s">
        <v>41</v>
      </c>
      <c r="D27" s="423" t="s">
        <v>40</v>
      </c>
      <c r="E27" s="372"/>
      <c r="F27" s="483"/>
      <c r="G27" s="484"/>
      <c r="H27" s="485"/>
      <c r="I27" s="483"/>
      <c r="J27" s="483"/>
      <c r="K27" s="483"/>
      <c r="L27" s="483"/>
      <c r="M27" s="486"/>
      <c r="N27" s="483"/>
      <c r="O27" s="486"/>
      <c r="P27" s="471">
        <f t="shared" si="0"/>
        <v>0</v>
      </c>
      <c r="Q27" s="378"/>
    </row>
    <row r="28" spans="1:17" ht="120" customHeight="1" hidden="1" outlineLevel="5">
      <c r="A28" s="376" t="s">
        <v>40</v>
      </c>
      <c r="B28" s="377"/>
      <c r="C28" s="370" t="s">
        <v>42</v>
      </c>
      <c r="D28" s="423" t="s">
        <v>40</v>
      </c>
      <c r="E28" s="372"/>
      <c r="F28" s="483"/>
      <c r="G28" s="484"/>
      <c r="H28" s="485"/>
      <c r="I28" s="483"/>
      <c r="J28" s="483"/>
      <c r="K28" s="483"/>
      <c r="L28" s="483"/>
      <c r="M28" s="486"/>
      <c r="N28" s="483"/>
      <c r="O28" s="486"/>
      <c r="P28" s="471">
        <f t="shared" si="0"/>
        <v>0</v>
      </c>
      <c r="Q28" s="378"/>
    </row>
    <row r="29" spans="1:17" ht="120" customHeight="1" hidden="1" outlineLevel="5">
      <c r="A29" s="376" t="s">
        <v>43</v>
      </c>
      <c r="B29" s="377"/>
      <c r="C29" s="370" t="s">
        <v>44</v>
      </c>
      <c r="D29" s="423" t="s">
        <v>43</v>
      </c>
      <c r="E29" s="372"/>
      <c r="F29" s="483"/>
      <c r="G29" s="484"/>
      <c r="H29" s="485"/>
      <c r="I29" s="483"/>
      <c r="J29" s="483"/>
      <c r="K29" s="483"/>
      <c r="L29" s="483"/>
      <c r="M29" s="486"/>
      <c r="N29" s="483"/>
      <c r="O29" s="486"/>
      <c r="P29" s="471">
        <f t="shared" si="0"/>
        <v>0</v>
      </c>
      <c r="Q29" s="378"/>
    </row>
    <row r="30" spans="1:17" ht="15.75" customHeight="1" hidden="1" outlineLevel="5">
      <c r="A30" s="376" t="s">
        <v>45</v>
      </c>
      <c r="B30" s="377"/>
      <c r="C30" s="370">
        <v>1.82101020300121E+19</v>
      </c>
      <c r="D30" s="423" t="s">
        <v>45</v>
      </c>
      <c r="E30" s="372"/>
      <c r="F30" s="483"/>
      <c r="G30" s="484"/>
      <c r="H30" s="485"/>
      <c r="I30" s="483"/>
      <c r="J30" s="483"/>
      <c r="K30" s="483"/>
      <c r="L30" s="483"/>
      <c r="M30" s="486"/>
      <c r="N30" s="483"/>
      <c r="O30" s="486"/>
      <c r="P30" s="471">
        <f t="shared" si="0"/>
        <v>0</v>
      </c>
      <c r="Q30" s="378"/>
    </row>
    <row r="31" spans="1:17" ht="120" customHeight="1" hidden="1" outlineLevel="5">
      <c r="A31" s="376" t="s">
        <v>46</v>
      </c>
      <c r="B31" s="377"/>
      <c r="C31" s="370" t="s">
        <v>44</v>
      </c>
      <c r="D31" s="423" t="s">
        <v>46</v>
      </c>
      <c r="E31" s="372"/>
      <c r="F31" s="483"/>
      <c r="G31" s="484"/>
      <c r="H31" s="485"/>
      <c r="I31" s="483"/>
      <c r="J31" s="483"/>
      <c r="K31" s="483"/>
      <c r="L31" s="483"/>
      <c r="M31" s="486"/>
      <c r="N31" s="483"/>
      <c r="O31" s="486"/>
      <c r="P31" s="471">
        <f t="shared" si="0"/>
        <v>0</v>
      </c>
      <c r="Q31" s="378"/>
    </row>
    <row r="32" spans="1:17" ht="120" customHeight="1" hidden="1" outlineLevel="5">
      <c r="A32" s="376" t="s">
        <v>47</v>
      </c>
      <c r="B32" s="377"/>
      <c r="C32" s="370" t="s">
        <v>44</v>
      </c>
      <c r="D32" s="423" t="s">
        <v>47</v>
      </c>
      <c r="E32" s="372"/>
      <c r="F32" s="483"/>
      <c r="G32" s="484"/>
      <c r="H32" s="485"/>
      <c r="I32" s="483"/>
      <c r="J32" s="483"/>
      <c r="K32" s="483"/>
      <c r="L32" s="483"/>
      <c r="M32" s="486"/>
      <c r="N32" s="483"/>
      <c r="O32" s="486"/>
      <c r="P32" s="471">
        <f t="shared" si="0"/>
        <v>0</v>
      </c>
      <c r="Q32" s="378"/>
    </row>
    <row r="33" spans="1:17" ht="15.75" customHeight="1" hidden="1" outlineLevel="3">
      <c r="A33" s="376" t="s">
        <v>48</v>
      </c>
      <c r="B33" s="377"/>
      <c r="C33" s="370" t="s">
        <v>23</v>
      </c>
      <c r="D33" s="423" t="s">
        <v>48</v>
      </c>
      <c r="E33" s="372"/>
      <c r="F33" s="483"/>
      <c r="G33" s="484"/>
      <c r="H33" s="485"/>
      <c r="I33" s="483"/>
      <c r="J33" s="483"/>
      <c r="K33" s="483"/>
      <c r="L33" s="483"/>
      <c r="M33" s="486"/>
      <c r="N33" s="483"/>
      <c r="O33" s="486"/>
      <c r="P33" s="471">
        <f t="shared" si="0"/>
        <v>0</v>
      </c>
      <c r="Q33" s="378"/>
    </row>
    <row r="34" spans="1:17" ht="270" customHeight="1" hidden="1" outlineLevel="4">
      <c r="A34" s="376" t="s">
        <v>49</v>
      </c>
      <c r="B34" s="377"/>
      <c r="C34" s="370" t="s">
        <v>50</v>
      </c>
      <c r="D34" s="423" t="s">
        <v>49</v>
      </c>
      <c r="E34" s="372"/>
      <c r="F34" s="483"/>
      <c r="G34" s="484"/>
      <c r="H34" s="485"/>
      <c r="I34" s="483"/>
      <c r="J34" s="483"/>
      <c r="K34" s="483"/>
      <c r="L34" s="483"/>
      <c r="M34" s="486"/>
      <c r="N34" s="483"/>
      <c r="O34" s="486"/>
      <c r="P34" s="471">
        <f t="shared" si="0"/>
        <v>0</v>
      </c>
      <c r="Q34" s="378"/>
    </row>
    <row r="35" spans="1:17" ht="270" customHeight="1" hidden="1" outlineLevel="5">
      <c r="A35" s="376" t="s">
        <v>49</v>
      </c>
      <c r="B35" s="377"/>
      <c r="C35" s="370" t="s">
        <v>51</v>
      </c>
      <c r="D35" s="423" t="s">
        <v>49</v>
      </c>
      <c r="E35" s="372"/>
      <c r="F35" s="483"/>
      <c r="G35" s="484"/>
      <c r="H35" s="485"/>
      <c r="I35" s="483"/>
      <c r="J35" s="483"/>
      <c r="K35" s="483"/>
      <c r="L35" s="483"/>
      <c r="M35" s="486"/>
      <c r="N35" s="483"/>
      <c r="O35" s="486"/>
      <c r="P35" s="471">
        <f t="shared" si="0"/>
        <v>0</v>
      </c>
      <c r="Q35" s="378"/>
    </row>
    <row r="36" spans="1:17" ht="409.5" customHeight="1" hidden="1" outlineLevel="5">
      <c r="A36" s="376" t="s">
        <v>52</v>
      </c>
      <c r="B36" s="377"/>
      <c r="C36" s="370" t="s">
        <v>53</v>
      </c>
      <c r="D36" s="423" t="s">
        <v>52</v>
      </c>
      <c r="E36" s="372">
        <v>8650982.19</v>
      </c>
      <c r="F36" s="483"/>
      <c r="G36" s="484"/>
      <c r="H36" s="485"/>
      <c r="I36" s="483"/>
      <c r="J36" s="483"/>
      <c r="K36" s="483"/>
      <c r="L36" s="483"/>
      <c r="M36" s="486"/>
      <c r="N36" s="483"/>
      <c r="O36" s="486"/>
      <c r="P36" s="471">
        <f t="shared" si="0"/>
        <v>0</v>
      </c>
      <c r="Q36" s="378"/>
    </row>
    <row r="37" spans="1:17" ht="57.75" customHeight="1" outlineLevel="2" collapsed="1">
      <c r="A37" s="376" t="s">
        <v>54</v>
      </c>
      <c r="B37" s="377" t="s">
        <v>311</v>
      </c>
      <c r="C37" s="370" t="s">
        <v>56</v>
      </c>
      <c r="D37" s="423" t="s">
        <v>54</v>
      </c>
      <c r="E37" s="372">
        <v>10254357.32</v>
      </c>
      <c r="F37" s="483">
        <v>6.6</v>
      </c>
      <c r="G37" s="484"/>
      <c r="H37" s="485"/>
      <c r="I37" s="483"/>
      <c r="J37" s="483"/>
      <c r="K37" s="483">
        <v>6.8</v>
      </c>
      <c r="L37" s="471"/>
      <c r="M37" s="486"/>
      <c r="N37" s="483"/>
      <c r="O37" s="486"/>
      <c r="P37" s="471">
        <f t="shared" si="0"/>
        <v>0.20000000000000018</v>
      </c>
      <c r="Q37" s="369" t="s">
        <v>267</v>
      </c>
    </row>
    <row r="38" spans="1:17" ht="58.5" customHeight="1" hidden="1" outlineLevel="1">
      <c r="A38" s="376" t="s">
        <v>57</v>
      </c>
      <c r="B38" s="377" t="s">
        <v>58</v>
      </c>
      <c r="C38" s="370" t="s">
        <v>59</v>
      </c>
      <c r="D38" s="423" t="s">
        <v>57</v>
      </c>
      <c r="E38" s="373">
        <f>E39+E40+E50+E54</f>
        <v>45903932.26</v>
      </c>
      <c r="F38" s="483"/>
      <c r="G38" s="484"/>
      <c r="H38" s="485"/>
      <c r="I38" s="483"/>
      <c r="J38" s="483"/>
      <c r="K38" s="483"/>
      <c r="L38" s="471"/>
      <c r="M38" s="486"/>
      <c r="N38" s="483"/>
      <c r="O38" s="486"/>
      <c r="P38" s="471">
        <f t="shared" si="0"/>
        <v>0</v>
      </c>
      <c r="Q38" s="369" t="s">
        <v>267</v>
      </c>
    </row>
    <row r="39" spans="1:17" ht="41.25" customHeight="1" outlineLevel="1">
      <c r="A39" s="376"/>
      <c r="B39" s="377" t="s">
        <v>312</v>
      </c>
      <c r="C39" s="370" t="s">
        <v>61</v>
      </c>
      <c r="D39" s="371" t="s">
        <v>62</v>
      </c>
      <c r="E39" s="372">
        <v>33191065.25</v>
      </c>
      <c r="F39" s="483">
        <v>23.1</v>
      </c>
      <c r="G39" s="488"/>
      <c r="H39" s="486"/>
      <c r="I39" s="483"/>
      <c r="J39" s="483"/>
      <c r="K39" s="483">
        <v>28.7</v>
      </c>
      <c r="L39" s="483"/>
      <c r="M39" s="486"/>
      <c r="N39" s="483"/>
      <c r="O39" s="486"/>
      <c r="P39" s="471">
        <f t="shared" si="0"/>
        <v>5.599999999999998</v>
      </c>
      <c r="Q39" s="375"/>
    </row>
    <row r="40" spans="1:17" ht="46.5" hidden="1" outlineLevel="2">
      <c r="A40" s="376" t="s">
        <v>63</v>
      </c>
      <c r="B40" s="377" t="s">
        <v>64</v>
      </c>
      <c r="C40" s="370" t="s">
        <v>65</v>
      </c>
      <c r="D40" s="371" t="s">
        <v>63</v>
      </c>
      <c r="E40" s="372">
        <v>108221.73</v>
      </c>
      <c r="F40" s="483"/>
      <c r="G40" s="488"/>
      <c r="H40" s="486"/>
      <c r="I40" s="483"/>
      <c r="J40" s="483"/>
      <c r="K40" s="483"/>
      <c r="L40" s="483"/>
      <c r="M40" s="486"/>
      <c r="N40" s="483"/>
      <c r="O40" s="486"/>
      <c r="P40" s="471">
        <f t="shared" si="0"/>
        <v>0</v>
      </c>
      <c r="Q40" s="375" t="s">
        <v>263</v>
      </c>
    </row>
    <row r="41" spans="1:17" ht="15" customHeight="1" hidden="1" outlineLevel="3">
      <c r="A41" s="376" t="s">
        <v>66</v>
      </c>
      <c r="B41" s="377"/>
      <c r="C41" s="370" t="s">
        <v>23</v>
      </c>
      <c r="D41" s="371" t="s">
        <v>66</v>
      </c>
      <c r="E41" s="372"/>
      <c r="F41" s="483"/>
      <c r="G41" s="488"/>
      <c r="H41" s="486"/>
      <c r="I41" s="483"/>
      <c r="J41" s="483"/>
      <c r="K41" s="483"/>
      <c r="L41" s="483"/>
      <c r="M41" s="486"/>
      <c r="N41" s="483"/>
      <c r="O41" s="486"/>
      <c r="P41" s="471">
        <f t="shared" si="0"/>
        <v>0</v>
      </c>
      <c r="Q41" s="378"/>
    </row>
    <row r="42" spans="1:17" ht="57" customHeight="1" hidden="1" outlineLevel="4">
      <c r="A42" s="376" t="s">
        <v>67</v>
      </c>
      <c r="B42" s="377"/>
      <c r="C42" s="370" t="s">
        <v>68</v>
      </c>
      <c r="D42" s="371" t="s">
        <v>67</v>
      </c>
      <c r="E42" s="372"/>
      <c r="F42" s="483"/>
      <c r="G42" s="488"/>
      <c r="H42" s="486"/>
      <c r="I42" s="483"/>
      <c r="J42" s="483"/>
      <c r="K42" s="483"/>
      <c r="L42" s="483"/>
      <c r="M42" s="486"/>
      <c r="N42" s="483"/>
      <c r="O42" s="486"/>
      <c r="P42" s="471">
        <f t="shared" si="0"/>
        <v>0</v>
      </c>
      <c r="Q42" s="378"/>
    </row>
    <row r="43" spans="1:17" ht="57" customHeight="1" hidden="1" outlineLevel="5">
      <c r="A43" s="376" t="s">
        <v>67</v>
      </c>
      <c r="B43" s="377"/>
      <c r="C43" s="370" t="s">
        <v>69</v>
      </c>
      <c r="D43" s="371" t="s">
        <v>67</v>
      </c>
      <c r="E43" s="372"/>
      <c r="F43" s="483"/>
      <c r="G43" s="488"/>
      <c r="H43" s="486"/>
      <c r="I43" s="483"/>
      <c r="J43" s="483"/>
      <c r="K43" s="483"/>
      <c r="L43" s="483"/>
      <c r="M43" s="486"/>
      <c r="N43" s="483"/>
      <c r="O43" s="486"/>
      <c r="P43" s="471">
        <f t="shared" si="0"/>
        <v>0</v>
      </c>
      <c r="Q43" s="378"/>
    </row>
    <row r="44" spans="1:17" ht="57" customHeight="1" hidden="1" outlineLevel="5">
      <c r="A44" s="376" t="s">
        <v>70</v>
      </c>
      <c r="B44" s="377"/>
      <c r="C44" s="370" t="s">
        <v>69</v>
      </c>
      <c r="D44" s="371" t="s">
        <v>70</v>
      </c>
      <c r="E44" s="372"/>
      <c r="F44" s="483"/>
      <c r="G44" s="488"/>
      <c r="H44" s="486"/>
      <c r="I44" s="483"/>
      <c r="J44" s="483"/>
      <c r="K44" s="483"/>
      <c r="L44" s="483"/>
      <c r="M44" s="486"/>
      <c r="N44" s="483"/>
      <c r="O44" s="486"/>
      <c r="P44" s="471">
        <f t="shared" si="0"/>
        <v>0</v>
      </c>
      <c r="Q44" s="378"/>
    </row>
    <row r="45" spans="1:17" ht="57" customHeight="1" hidden="1" outlineLevel="5">
      <c r="A45" s="376" t="s">
        <v>71</v>
      </c>
      <c r="B45" s="377"/>
      <c r="C45" s="370" t="s">
        <v>69</v>
      </c>
      <c r="D45" s="371" t="s">
        <v>71</v>
      </c>
      <c r="E45" s="372"/>
      <c r="F45" s="483"/>
      <c r="G45" s="488"/>
      <c r="H45" s="486"/>
      <c r="I45" s="483"/>
      <c r="J45" s="483"/>
      <c r="K45" s="483"/>
      <c r="L45" s="483"/>
      <c r="M45" s="486"/>
      <c r="N45" s="483"/>
      <c r="O45" s="486"/>
      <c r="P45" s="471">
        <f t="shared" si="0"/>
        <v>0</v>
      </c>
      <c r="Q45" s="378"/>
    </row>
    <row r="46" spans="1:17" ht="57" customHeight="1" hidden="1" outlineLevel="5">
      <c r="A46" s="376" t="s">
        <v>72</v>
      </c>
      <c r="B46" s="377"/>
      <c r="C46" s="370" t="s">
        <v>69</v>
      </c>
      <c r="D46" s="371" t="s">
        <v>72</v>
      </c>
      <c r="E46" s="372"/>
      <c r="F46" s="483"/>
      <c r="G46" s="488"/>
      <c r="H46" s="486"/>
      <c r="I46" s="483"/>
      <c r="J46" s="483"/>
      <c r="K46" s="483"/>
      <c r="L46" s="483"/>
      <c r="M46" s="486"/>
      <c r="N46" s="483"/>
      <c r="O46" s="486"/>
      <c r="P46" s="471">
        <f t="shared" si="0"/>
        <v>0</v>
      </c>
      <c r="Q46" s="378"/>
    </row>
    <row r="47" spans="1:17" ht="15" customHeight="1" hidden="1" outlineLevel="3">
      <c r="A47" s="376" t="s">
        <v>73</v>
      </c>
      <c r="B47" s="377"/>
      <c r="C47" s="370" t="s">
        <v>23</v>
      </c>
      <c r="D47" s="371" t="s">
        <v>73</v>
      </c>
      <c r="E47" s="372"/>
      <c r="F47" s="483"/>
      <c r="G47" s="488"/>
      <c r="H47" s="486"/>
      <c r="I47" s="483"/>
      <c r="J47" s="483"/>
      <c r="K47" s="483"/>
      <c r="L47" s="483"/>
      <c r="M47" s="486"/>
      <c r="N47" s="483"/>
      <c r="O47" s="486"/>
      <c r="P47" s="471">
        <f t="shared" si="0"/>
        <v>0</v>
      </c>
      <c r="Q47" s="378"/>
    </row>
    <row r="48" spans="1:17" ht="99.75" customHeight="1" hidden="1" outlineLevel="4">
      <c r="A48" s="376" t="s">
        <v>74</v>
      </c>
      <c r="B48" s="377"/>
      <c r="C48" s="370" t="s">
        <v>75</v>
      </c>
      <c r="D48" s="371" t="s">
        <v>74</v>
      </c>
      <c r="E48" s="372"/>
      <c r="F48" s="483"/>
      <c r="G48" s="488"/>
      <c r="H48" s="486"/>
      <c r="I48" s="483"/>
      <c r="J48" s="483"/>
      <c r="K48" s="483"/>
      <c r="L48" s="483"/>
      <c r="M48" s="486"/>
      <c r="N48" s="483"/>
      <c r="O48" s="486"/>
      <c r="P48" s="471">
        <f t="shared" si="0"/>
        <v>0</v>
      </c>
      <c r="Q48" s="378"/>
    </row>
    <row r="49" spans="1:17" ht="99.75" customHeight="1" hidden="1" outlineLevel="5">
      <c r="A49" s="376" t="s">
        <v>76</v>
      </c>
      <c r="B49" s="377"/>
      <c r="C49" s="370" t="s">
        <v>77</v>
      </c>
      <c r="D49" s="371" t="s">
        <v>76</v>
      </c>
      <c r="E49" s="372"/>
      <c r="F49" s="483"/>
      <c r="G49" s="488"/>
      <c r="H49" s="486"/>
      <c r="I49" s="483"/>
      <c r="J49" s="483"/>
      <c r="K49" s="483"/>
      <c r="L49" s="483"/>
      <c r="M49" s="486"/>
      <c r="N49" s="483"/>
      <c r="O49" s="486"/>
      <c r="P49" s="471">
        <f t="shared" si="0"/>
        <v>0</v>
      </c>
      <c r="Q49" s="378"/>
    </row>
    <row r="50" spans="1:17" ht="18.75" customHeight="1" hidden="1" outlineLevel="2" collapsed="1">
      <c r="A50" s="376" t="s">
        <v>78</v>
      </c>
      <c r="B50" s="377" t="s">
        <v>79</v>
      </c>
      <c r="C50" s="370" t="s">
        <v>80</v>
      </c>
      <c r="D50" s="371" t="s">
        <v>78</v>
      </c>
      <c r="E50" s="373">
        <v>63052.38</v>
      </c>
      <c r="F50" s="488"/>
      <c r="G50" s="488"/>
      <c r="H50" s="486"/>
      <c r="I50" s="483"/>
      <c r="J50" s="483"/>
      <c r="K50" s="488"/>
      <c r="L50" s="483"/>
      <c r="M50" s="486"/>
      <c r="N50" s="483"/>
      <c r="O50" s="486"/>
      <c r="P50" s="471">
        <f t="shared" si="0"/>
        <v>0</v>
      </c>
      <c r="Q50" s="378"/>
    </row>
    <row r="51" spans="1:17" ht="15" customHeight="1" hidden="1" outlineLevel="3">
      <c r="A51" s="376" t="s">
        <v>81</v>
      </c>
      <c r="B51" s="377"/>
      <c r="C51" s="370" t="s">
        <v>23</v>
      </c>
      <c r="D51" s="371" t="s">
        <v>81</v>
      </c>
      <c r="E51" s="372"/>
      <c r="F51" s="483"/>
      <c r="G51" s="488"/>
      <c r="H51" s="486"/>
      <c r="I51" s="483"/>
      <c r="J51" s="483"/>
      <c r="K51" s="483"/>
      <c r="L51" s="483"/>
      <c r="M51" s="486"/>
      <c r="N51" s="483"/>
      <c r="O51" s="486"/>
      <c r="P51" s="471">
        <f t="shared" si="0"/>
        <v>0</v>
      </c>
      <c r="Q51" s="378"/>
    </row>
    <row r="52" spans="1:17" ht="42.75" customHeight="1" hidden="1" outlineLevel="4">
      <c r="A52" s="376" t="s">
        <v>82</v>
      </c>
      <c r="B52" s="377"/>
      <c r="C52" s="370" t="s">
        <v>83</v>
      </c>
      <c r="D52" s="371" t="s">
        <v>82</v>
      </c>
      <c r="E52" s="372"/>
      <c r="F52" s="483"/>
      <c r="G52" s="488"/>
      <c r="H52" s="486"/>
      <c r="I52" s="483"/>
      <c r="J52" s="483"/>
      <c r="K52" s="483"/>
      <c r="L52" s="483"/>
      <c r="M52" s="486"/>
      <c r="N52" s="483"/>
      <c r="O52" s="486"/>
      <c r="P52" s="471">
        <f t="shared" si="0"/>
        <v>0</v>
      </c>
      <c r="Q52" s="378"/>
    </row>
    <row r="53" spans="1:17" ht="42.75" customHeight="1" hidden="1" outlineLevel="5">
      <c r="A53" s="376" t="s">
        <v>82</v>
      </c>
      <c r="B53" s="377"/>
      <c r="C53" s="370" t="s">
        <v>84</v>
      </c>
      <c r="D53" s="371" t="s">
        <v>82</v>
      </c>
      <c r="E53" s="372"/>
      <c r="F53" s="483"/>
      <c r="G53" s="488"/>
      <c r="H53" s="486"/>
      <c r="I53" s="483"/>
      <c r="J53" s="483"/>
      <c r="K53" s="483"/>
      <c r="L53" s="483"/>
      <c r="M53" s="486"/>
      <c r="N53" s="483"/>
      <c r="O53" s="486"/>
      <c r="P53" s="471">
        <f t="shared" si="0"/>
        <v>0</v>
      </c>
      <c r="Q53" s="378"/>
    </row>
    <row r="54" spans="1:17" ht="30" customHeight="1" outlineLevel="2" collapsed="1">
      <c r="A54" s="376" t="s">
        <v>85</v>
      </c>
      <c r="B54" s="377" t="s">
        <v>313</v>
      </c>
      <c r="C54" s="370" t="s">
        <v>87</v>
      </c>
      <c r="D54" s="371" t="s">
        <v>85</v>
      </c>
      <c r="E54" s="372">
        <v>12541592.9</v>
      </c>
      <c r="F54" s="483">
        <v>6.9</v>
      </c>
      <c r="G54" s="488"/>
      <c r="H54" s="486"/>
      <c r="I54" s="483"/>
      <c r="J54" s="483"/>
      <c r="K54" s="483">
        <v>4</v>
      </c>
      <c r="L54" s="483"/>
      <c r="M54" s="486"/>
      <c r="N54" s="483"/>
      <c r="O54" s="486"/>
      <c r="P54" s="471">
        <f t="shared" si="0"/>
        <v>-2.9000000000000004</v>
      </c>
      <c r="Q54" s="375"/>
    </row>
    <row r="55" spans="1:17" ht="15" customHeight="1" hidden="1" outlineLevel="3">
      <c r="A55" s="376" t="s">
        <v>88</v>
      </c>
      <c r="B55" s="377"/>
      <c r="C55" s="370" t="s">
        <v>23</v>
      </c>
      <c r="D55" s="371" t="s">
        <v>88</v>
      </c>
      <c r="E55" s="372">
        <v>401120</v>
      </c>
      <c r="F55" s="483"/>
      <c r="G55" s="488"/>
      <c r="H55" s="486"/>
      <c r="I55" s="483"/>
      <c r="J55" s="483"/>
      <c r="K55" s="483"/>
      <c r="L55" s="483"/>
      <c r="M55" s="486"/>
      <c r="N55" s="483"/>
      <c r="O55" s="486"/>
      <c r="P55" s="471">
        <f t="shared" si="0"/>
        <v>0</v>
      </c>
      <c r="Q55" s="378"/>
    </row>
    <row r="56" spans="1:17" ht="85.5" customHeight="1" hidden="1" outlineLevel="4">
      <c r="A56" s="376" t="s">
        <v>89</v>
      </c>
      <c r="B56" s="377"/>
      <c r="C56" s="370" t="s">
        <v>90</v>
      </c>
      <c r="D56" s="371" t="s">
        <v>89</v>
      </c>
      <c r="E56" s="372">
        <v>0</v>
      </c>
      <c r="F56" s="483"/>
      <c r="G56" s="488"/>
      <c r="H56" s="486"/>
      <c r="I56" s="483"/>
      <c r="J56" s="483"/>
      <c r="K56" s="483"/>
      <c r="L56" s="483"/>
      <c r="M56" s="486"/>
      <c r="N56" s="483"/>
      <c r="O56" s="486"/>
      <c r="P56" s="471">
        <f t="shared" si="0"/>
        <v>0</v>
      </c>
      <c r="Q56" s="378"/>
    </row>
    <row r="57" spans="1:17" ht="99.75" customHeight="1" hidden="1" outlineLevel="5">
      <c r="A57" s="376" t="s">
        <v>89</v>
      </c>
      <c r="B57" s="377"/>
      <c r="C57" s="370" t="s">
        <v>91</v>
      </c>
      <c r="D57" s="371" t="s">
        <v>89</v>
      </c>
      <c r="E57" s="372">
        <v>401106.8</v>
      </c>
      <c r="F57" s="483"/>
      <c r="G57" s="488"/>
      <c r="H57" s="486"/>
      <c r="I57" s="483"/>
      <c r="J57" s="483"/>
      <c r="K57" s="483"/>
      <c r="L57" s="483"/>
      <c r="M57" s="486"/>
      <c r="N57" s="483"/>
      <c r="O57" s="486"/>
      <c r="P57" s="471">
        <f t="shared" si="0"/>
        <v>0</v>
      </c>
      <c r="Q57" s="378"/>
    </row>
    <row r="58" spans="1:17" ht="99.75" customHeight="1" hidden="1" outlineLevel="5">
      <c r="A58" s="376" t="s">
        <v>92</v>
      </c>
      <c r="B58" s="377"/>
      <c r="C58" s="370" t="s">
        <v>91</v>
      </c>
      <c r="D58" s="371" t="s">
        <v>92</v>
      </c>
      <c r="E58" s="372">
        <v>13.2</v>
      </c>
      <c r="F58" s="483"/>
      <c r="G58" s="488"/>
      <c r="H58" s="486"/>
      <c r="I58" s="483"/>
      <c r="J58" s="483"/>
      <c r="K58" s="483"/>
      <c r="L58" s="483"/>
      <c r="M58" s="486"/>
      <c r="N58" s="483"/>
      <c r="O58" s="486"/>
      <c r="P58" s="471">
        <f t="shared" si="0"/>
        <v>0</v>
      </c>
      <c r="Q58" s="378"/>
    </row>
    <row r="59" spans="1:17" ht="99.75" customHeight="1" hidden="1" outlineLevel="5">
      <c r="A59" s="376" t="s">
        <v>93</v>
      </c>
      <c r="B59" s="377"/>
      <c r="C59" s="370" t="s">
        <v>91</v>
      </c>
      <c r="D59" s="371" t="s">
        <v>93</v>
      </c>
      <c r="E59" s="372">
        <f>E60+E61+E62</f>
        <v>172244710.82</v>
      </c>
      <c r="F59" s="483"/>
      <c r="G59" s="488"/>
      <c r="H59" s="486"/>
      <c r="I59" s="483"/>
      <c r="J59" s="483"/>
      <c r="K59" s="483"/>
      <c r="L59" s="483"/>
      <c r="M59" s="486"/>
      <c r="N59" s="483"/>
      <c r="O59" s="486"/>
      <c r="P59" s="471">
        <f t="shared" si="0"/>
        <v>0</v>
      </c>
      <c r="Q59" s="378"/>
    </row>
    <row r="60" spans="1:17" ht="22.5" customHeight="1" outlineLevel="1" collapsed="1">
      <c r="A60" s="376" t="s">
        <v>94</v>
      </c>
      <c r="B60" s="377" t="s">
        <v>314</v>
      </c>
      <c r="C60" s="370" t="s">
        <v>96</v>
      </c>
      <c r="D60" s="371" t="s">
        <v>94</v>
      </c>
      <c r="E60" s="372">
        <f>E61+E62+E63</f>
        <v>95317580.9</v>
      </c>
      <c r="F60" s="483">
        <v>48.4</v>
      </c>
      <c r="G60" s="488"/>
      <c r="H60" s="486"/>
      <c r="I60" s="483"/>
      <c r="J60" s="483"/>
      <c r="K60" s="483">
        <v>33.7</v>
      </c>
      <c r="L60" s="483"/>
      <c r="M60" s="486"/>
      <c r="N60" s="483"/>
      <c r="O60" s="486"/>
      <c r="P60" s="471">
        <f t="shared" si="0"/>
        <v>-14.699999999999996</v>
      </c>
      <c r="Q60" s="369" t="s">
        <v>267</v>
      </c>
    </row>
    <row r="61" spans="1:17" ht="30.75" hidden="1" outlineLevel="2">
      <c r="A61" s="376" t="s">
        <v>97</v>
      </c>
      <c r="B61" s="377" t="s">
        <v>98</v>
      </c>
      <c r="C61" s="370" t="s">
        <v>99</v>
      </c>
      <c r="D61" s="371" t="s">
        <v>97</v>
      </c>
      <c r="E61" s="372">
        <v>14947482.35</v>
      </c>
      <c r="F61" s="483"/>
      <c r="G61" s="488"/>
      <c r="H61" s="486"/>
      <c r="I61" s="483"/>
      <c r="J61" s="483"/>
      <c r="K61" s="483"/>
      <c r="L61" s="483"/>
      <c r="M61" s="486"/>
      <c r="N61" s="483"/>
      <c r="O61" s="486"/>
      <c r="P61" s="471">
        <f t="shared" si="0"/>
        <v>0</v>
      </c>
      <c r="Q61" s="375"/>
    </row>
    <row r="62" spans="1:17" s="462" customFormat="1" ht="49.5" customHeight="1" outlineLevel="4">
      <c r="A62" s="456" t="s">
        <v>100</v>
      </c>
      <c r="B62" s="457"/>
      <c r="C62" s="458" t="s">
        <v>299</v>
      </c>
      <c r="D62" s="459" t="s">
        <v>100</v>
      </c>
      <c r="E62" s="460">
        <v>61979647.57</v>
      </c>
      <c r="F62" s="489">
        <v>44.8</v>
      </c>
      <c r="G62" s="490"/>
      <c r="H62" s="491"/>
      <c r="I62" s="489"/>
      <c r="J62" s="489"/>
      <c r="K62" s="489">
        <v>28.4</v>
      </c>
      <c r="L62" s="489"/>
      <c r="M62" s="491"/>
      <c r="N62" s="489"/>
      <c r="O62" s="491"/>
      <c r="P62" s="471">
        <f t="shared" si="0"/>
        <v>-16.4</v>
      </c>
      <c r="Q62" s="461" t="s">
        <v>315</v>
      </c>
    </row>
    <row r="63" spans="1:17" ht="56.25" customHeight="1" hidden="1" outlineLevel="4">
      <c r="A63" s="376" t="s">
        <v>103</v>
      </c>
      <c r="B63" s="377" t="s">
        <v>104</v>
      </c>
      <c r="C63" s="370" t="s">
        <v>105</v>
      </c>
      <c r="D63" s="371" t="s">
        <v>103</v>
      </c>
      <c r="E63" s="372">
        <v>18390450.98</v>
      </c>
      <c r="F63" s="483"/>
      <c r="G63" s="488"/>
      <c r="H63" s="486"/>
      <c r="I63" s="483"/>
      <c r="J63" s="483"/>
      <c r="K63" s="483"/>
      <c r="L63" s="483"/>
      <c r="M63" s="486"/>
      <c r="N63" s="483"/>
      <c r="O63" s="486"/>
      <c r="P63" s="471">
        <f t="shared" si="0"/>
        <v>0</v>
      </c>
      <c r="Q63" s="375"/>
    </row>
    <row r="64" spans="1:17" ht="32.25" customHeight="1" outlineLevel="1" collapsed="1">
      <c r="A64" s="376" t="s">
        <v>106</v>
      </c>
      <c r="B64" s="377" t="s">
        <v>316</v>
      </c>
      <c r="C64" s="370" t="s">
        <v>108</v>
      </c>
      <c r="D64" s="371" t="s">
        <v>106</v>
      </c>
      <c r="E64" s="372">
        <f>E65+E70</f>
        <v>10536108.33</v>
      </c>
      <c r="F64" s="483">
        <v>6.9</v>
      </c>
      <c r="G64" s="488"/>
      <c r="H64" s="486"/>
      <c r="I64" s="483"/>
      <c r="J64" s="483"/>
      <c r="K64" s="483">
        <v>7.2</v>
      </c>
      <c r="L64" s="483"/>
      <c r="M64" s="486"/>
      <c r="N64" s="483"/>
      <c r="O64" s="486"/>
      <c r="P64" s="471">
        <f t="shared" si="0"/>
        <v>0.2999999999999998</v>
      </c>
      <c r="Q64" s="378"/>
    </row>
    <row r="65" spans="1:17" ht="91.5" customHeight="1" hidden="1" outlineLevel="2">
      <c r="A65" s="376" t="s">
        <v>109</v>
      </c>
      <c r="B65" s="377" t="s">
        <v>110</v>
      </c>
      <c r="C65" s="370" t="s">
        <v>111</v>
      </c>
      <c r="D65" s="371" t="s">
        <v>109</v>
      </c>
      <c r="E65" s="372">
        <v>10431108.33</v>
      </c>
      <c r="F65" s="483"/>
      <c r="G65" s="488"/>
      <c r="H65" s="486"/>
      <c r="I65" s="483"/>
      <c r="J65" s="483"/>
      <c r="K65" s="483"/>
      <c r="L65" s="483"/>
      <c r="M65" s="486"/>
      <c r="N65" s="483"/>
      <c r="O65" s="486"/>
      <c r="P65" s="483"/>
      <c r="Q65" s="378"/>
    </row>
    <row r="66" spans="1:17" ht="15" customHeight="1" hidden="1" outlineLevel="3">
      <c r="A66" s="376" t="s">
        <v>112</v>
      </c>
      <c r="B66" s="377"/>
      <c r="C66" s="370" t="s">
        <v>23</v>
      </c>
      <c r="D66" s="371" t="s">
        <v>112</v>
      </c>
      <c r="E66" s="372"/>
      <c r="F66" s="483"/>
      <c r="G66" s="488"/>
      <c r="H66" s="486"/>
      <c r="I66" s="483"/>
      <c r="J66" s="483"/>
      <c r="K66" s="483"/>
      <c r="L66" s="483"/>
      <c r="M66" s="486"/>
      <c r="N66" s="483"/>
      <c r="O66" s="486"/>
      <c r="P66" s="483"/>
      <c r="Q66" s="378"/>
    </row>
    <row r="67" spans="1:17" ht="114" customHeight="1" hidden="1" outlineLevel="4">
      <c r="A67" s="376" t="s">
        <v>113</v>
      </c>
      <c r="B67" s="377"/>
      <c r="C67" s="370" t="s">
        <v>114</v>
      </c>
      <c r="D67" s="371" t="s">
        <v>113</v>
      </c>
      <c r="E67" s="372"/>
      <c r="F67" s="483"/>
      <c r="G67" s="488"/>
      <c r="H67" s="486"/>
      <c r="I67" s="483"/>
      <c r="J67" s="483"/>
      <c r="K67" s="483"/>
      <c r="L67" s="483"/>
      <c r="M67" s="486"/>
      <c r="N67" s="483"/>
      <c r="O67" s="486"/>
      <c r="P67" s="483"/>
      <c r="Q67" s="378"/>
    </row>
    <row r="68" spans="1:17" ht="128.25" customHeight="1" hidden="1" outlineLevel="5">
      <c r="A68" s="376" t="s">
        <v>113</v>
      </c>
      <c r="B68" s="377"/>
      <c r="C68" s="370" t="s">
        <v>115</v>
      </c>
      <c r="D68" s="371" t="s">
        <v>113</v>
      </c>
      <c r="E68" s="372"/>
      <c r="F68" s="483"/>
      <c r="G68" s="488"/>
      <c r="H68" s="486"/>
      <c r="I68" s="483"/>
      <c r="J68" s="483"/>
      <c r="K68" s="483"/>
      <c r="L68" s="483"/>
      <c r="M68" s="486"/>
      <c r="N68" s="483"/>
      <c r="O68" s="486"/>
      <c r="P68" s="483"/>
      <c r="Q68" s="378"/>
    </row>
    <row r="69" spans="1:17" ht="171" customHeight="1" hidden="1" outlineLevel="5">
      <c r="A69" s="376" t="s">
        <v>116</v>
      </c>
      <c r="B69" s="377"/>
      <c r="C69" s="370" t="s">
        <v>117</v>
      </c>
      <c r="D69" s="371" t="s">
        <v>116</v>
      </c>
      <c r="E69" s="372"/>
      <c r="F69" s="483"/>
      <c r="G69" s="488"/>
      <c r="H69" s="486"/>
      <c r="I69" s="483"/>
      <c r="J69" s="483"/>
      <c r="K69" s="483"/>
      <c r="L69" s="483"/>
      <c r="M69" s="486"/>
      <c r="N69" s="483"/>
      <c r="O69" s="486"/>
      <c r="P69" s="483"/>
      <c r="Q69" s="378"/>
    </row>
    <row r="70" spans="1:17" ht="78.75" customHeight="1" hidden="1" outlineLevel="2" collapsed="1">
      <c r="A70" s="376" t="s">
        <v>118</v>
      </c>
      <c r="B70" s="377" t="s">
        <v>119</v>
      </c>
      <c r="C70" s="370" t="s">
        <v>120</v>
      </c>
      <c r="D70" s="371" t="s">
        <v>118</v>
      </c>
      <c r="E70" s="373">
        <v>105000</v>
      </c>
      <c r="F70" s="488"/>
      <c r="G70" s="488"/>
      <c r="H70" s="486"/>
      <c r="I70" s="483"/>
      <c r="J70" s="483"/>
      <c r="K70" s="488"/>
      <c r="L70" s="483"/>
      <c r="M70" s="486"/>
      <c r="N70" s="483"/>
      <c r="O70" s="486"/>
      <c r="P70" s="483"/>
      <c r="Q70" s="375"/>
    </row>
    <row r="71" spans="1:17" ht="15" customHeight="1" hidden="1" outlineLevel="3">
      <c r="A71" s="376" t="s">
        <v>121</v>
      </c>
      <c r="B71" s="377"/>
      <c r="C71" s="370" t="s">
        <v>23</v>
      </c>
      <c r="D71" s="371" t="s">
        <v>121</v>
      </c>
      <c r="E71" s="372">
        <v>0</v>
      </c>
      <c r="F71" s="483"/>
      <c r="G71" s="488"/>
      <c r="H71" s="486"/>
      <c r="I71" s="483"/>
      <c r="J71" s="483"/>
      <c r="K71" s="483"/>
      <c r="L71" s="483"/>
      <c r="M71" s="486"/>
      <c r="N71" s="483"/>
      <c r="O71" s="486"/>
      <c r="P71" s="483"/>
      <c r="Q71" s="378"/>
    </row>
    <row r="72" spans="1:17" ht="57" customHeight="1" hidden="1" outlineLevel="4">
      <c r="A72" s="376" t="s">
        <v>122</v>
      </c>
      <c r="B72" s="377"/>
      <c r="C72" s="370" t="s">
        <v>123</v>
      </c>
      <c r="D72" s="371" t="s">
        <v>122</v>
      </c>
      <c r="E72" s="372">
        <v>0</v>
      </c>
      <c r="F72" s="483"/>
      <c r="G72" s="488"/>
      <c r="H72" s="486"/>
      <c r="I72" s="483"/>
      <c r="J72" s="483"/>
      <c r="K72" s="483"/>
      <c r="L72" s="483"/>
      <c r="M72" s="486"/>
      <c r="N72" s="483"/>
      <c r="O72" s="486"/>
      <c r="P72" s="483"/>
      <c r="Q72" s="378"/>
    </row>
    <row r="73" spans="1:17" ht="71.25" customHeight="1" hidden="1" outlineLevel="5">
      <c r="A73" s="376" t="s">
        <v>122</v>
      </c>
      <c r="B73" s="377"/>
      <c r="C73" s="370" t="s">
        <v>124</v>
      </c>
      <c r="D73" s="371" t="s">
        <v>122</v>
      </c>
      <c r="E73" s="372">
        <v>-23389.69</v>
      </c>
      <c r="F73" s="483"/>
      <c r="G73" s="488"/>
      <c r="H73" s="486"/>
      <c r="I73" s="483"/>
      <c r="J73" s="483"/>
      <c r="K73" s="483"/>
      <c r="L73" s="483"/>
      <c r="M73" s="486"/>
      <c r="N73" s="483"/>
      <c r="O73" s="486"/>
      <c r="P73" s="483"/>
      <c r="Q73" s="378"/>
    </row>
    <row r="74" spans="1:17" ht="83.25" customHeight="1" hidden="1" outlineLevel="1" collapsed="1">
      <c r="A74" s="376" t="s">
        <v>125</v>
      </c>
      <c r="B74" s="377" t="s">
        <v>126</v>
      </c>
      <c r="C74" s="370" t="s">
        <v>300</v>
      </c>
      <c r="D74" s="371" t="s">
        <v>125</v>
      </c>
      <c r="E74" s="372">
        <v>-23389.69</v>
      </c>
      <c r="F74" s="483"/>
      <c r="G74" s="488"/>
      <c r="H74" s="486"/>
      <c r="I74" s="483"/>
      <c r="J74" s="483"/>
      <c r="K74" s="483"/>
      <c r="L74" s="483"/>
      <c r="M74" s="486"/>
      <c r="N74" s="483"/>
      <c r="O74" s="486"/>
      <c r="P74" s="483"/>
      <c r="Q74" s="378"/>
    </row>
    <row r="75" spans="1:17" ht="15.75" customHeight="1" hidden="1" outlineLevel="3">
      <c r="A75" s="376" t="s">
        <v>128</v>
      </c>
      <c r="B75" s="377"/>
      <c r="C75" s="370" t="s">
        <v>23</v>
      </c>
      <c r="D75" s="371" t="s">
        <v>128</v>
      </c>
      <c r="E75" s="372">
        <v>78.92</v>
      </c>
      <c r="F75" s="483"/>
      <c r="G75" s="488"/>
      <c r="H75" s="486"/>
      <c r="I75" s="483"/>
      <c r="J75" s="483"/>
      <c r="K75" s="483"/>
      <c r="L75" s="483"/>
      <c r="M75" s="486"/>
      <c r="N75" s="483"/>
      <c r="O75" s="486"/>
      <c r="P75" s="483"/>
      <c r="Q75" s="378"/>
    </row>
    <row r="76" spans="1:17" ht="180" customHeight="1" hidden="1" outlineLevel="4">
      <c r="A76" s="376" t="s">
        <v>129</v>
      </c>
      <c r="B76" s="377"/>
      <c r="C76" s="370" t="s">
        <v>130</v>
      </c>
      <c r="D76" s="371" t="s">
        <v>129</v>
      </c>
      <c r="E76" s="372">
        <v>78.92</v>
      </c>
      <c r="F76" s="483"/>
      <c r="G76" s="488"/>
      <c r="H76" s="486"/>
      <c r="I76" s="483"/>
      <c r="J76" s="483"/>
      <c r="K76" s="483"/>
      <c r="L76" s="483"/>
      <c r="M76" s="486"/>
      <c r="N76" s="483"/>
      <c r="O76" s="486"/>
      <c r="P76" s="483"/>
      <c r="Q76" s="378"/>
    </row>
    <row r="77" spans="1:17" ht="180" customHeight="1" hidden="1" outlineLevel="5">
      <c r="A77" s="376" t="s">
        <v>131</v>
      </c>
      <c r="B77" s="377"/>
      <c r="C77" s="370" t="s">
        <v>132</v>
      </c>
      <c r="D77" s="371" t="s">
        <v>131</v>
      </c>
      <c r="E77" s="372">
        <f>E78+E87+E103+E106+E109+E110</f>
        <v>106887173.90000002</v>
      </c>
      <c r="F77" s="483"/>
      <c r="G77" s="488"/>
      <c r="H77" s="486"/>
      <c r="I77" s="483"/>
      <c r="J77" s="483"/>
      <c r="K77" s="483"/>
      <c r="L77" s="483"/>
      <c r="M77" s="486"/>
      <c r="N77" s="483"/>
      <c r="O77" s="486"/>
      <c r="P77" s="483"/>
      <c r="Q77" s="378"/>
    </row>
    <row r="78" spans="1:17" s="352" customFormat="1" ht="57" customHeight="1" outlineLevel="5">
      <c r="A78" s="365"/>
      <c r="B78" s="444" t="s">
        <v>317</v>
      </c>
      <c r="C78" s="445" t="s">
        <v>306</v>
      </c>
      <c r="D78" s="446"/>
      <c r="E78" s="447">
        <f>E79+E88+E104+E107+E110+E111</f>
        <v>73494552.89</v>
      </c>
      <c r="F78" s="492">
        <v>40.5</v>
      </c>
      <c r="G78" s="492"/>
      <c r="H78" s="492"/>
      <c r="I78" s="492"/>
      <c r="J78" s="492"/>
      <c r="K78" s="492">
        <f>92-18.3</f>
        <v>73.7</v>
      </c>
      <c r="L78" s="492"/>
      <c r="M78" s="492"/>
      <c r="N78" s="492"/>
      <c r="O78" s="493"/>
      <c r="P78" s="492">
        <f>K78-F78</f>
        <v>33.2</v>
      </c>
      <c r="Q78" s="368"/>
    </row>
    <row r="79" spans="1:17" ht="57" customHeight="1" outlineLevel="1">
      <c r="A79" s="376" t="s">
        <v>135</v>
      </c>
      <c r="B79" s="377" t="s">
        <v>136</v>
      </c>
      <c r="C79" s="370" t="s">
        <v>137</v>
      </c>
      <c r="D79" s="371" t="s">
        <v>135</v>
      </c>
      <c r="E79" s="372">
        <f>E80+E81+E82+E83+E87</f>
        <v>37416244.75</v>
      </c>
      <c r="F79" s="483">
        <v>21.2</v>
      </c>
      <c r="G79" s="488"/>
      <c r="H79" s="486"/>
      <c r="I79" s="483"/>
      <c r="J79" s="483"/>
      <c r="K79" s="483">
        <v>19.4</v>
      </c>
      <c r="L79" s="483"/>
      <c r="M79" s="486"/>
      <c r="N79" s="483"/>
      <c r="O79" s="486"/>
      <c r="P79" s="483">
        <f>K79-F79</f>
        <v>-1.8000000000000007</v>
      </c>
      <c r="Q79" s="378"/>
    </row>
    <row r="80" spans="1:17" ht="66.75" customHeight="1" hidden="1" outlineLevel="4">
      <c r="A80" s="376" t="s">
        <v>138</v>
      </c>
      <c r="B80" s="377" t="s">
        <v>139</v>
      </c>
      <c r="C80" s="370" t="s">
        <v>140</v>
      </c>
      <c r="D80" s="371" t="s">
        <v>138</v>
      </c>
      <c r="E80" s="372">
        <v>24363527.29</v>
      </c>
      <c r="F80" s="483"/>
      <c r="G80" s="488"/>
      <c r="H80" s="486"/>
      <c r="I80" s="483"/>
      <c r="J80" s="483"/>
      <c r="K80" s="483"/>
      <c r="L80" s="483"/>
      <c r="M80" s="486"/>
      <c r="N80" s="483"/>
      <c r="O80" s="486"/>
      <c r="P80" s="483">
        <f aca="true" t="shared" si="1" ref="P80:P131">K80-F80</f>
        <v>0</v>
      </c>
      <c r="Q80" s="375" t="s">
        <v>268</v>
      </c>
    </row>
    <row r="81" spans="1:17" ht="61.5" customHeight="1" hidden="1" outlineLevel="4">
      <c r="A81" s="376" t="s">
        <v>141</v>
      </c>
      <c r="B81" s="377" t="s">
        <v>142</v>
      </c>
      <c r="C81" s="370" t="s">
        <v>143</v>
      </c>
      <c r="D81" s="371" t="s">
        <v>141</v>
      </c>
      <c r="E81" s="372">
        <v>977974.72</v>
      </c>
      <c r="F81" s="483"/>
      <c r="G81" s="488"/>
      <c r="H81" s="486"/>
      <c r="I81" s="483"/>
      <c r="J81" s="483"/>
      <c r="K81" s="483"/>
      <c r="L81" s="483"/>
      <c r="M81" s="486"/>
      <c r="N81" s="483"/>
      <c r="O81" s="486"/>
      <c r="P81" s="483">
        <f t="shared" si="1"/>
        <v>0</v>
      </c>
      <c r="Q81" s="375"/>
    </row>
    <row r="82" spans="1:17" ht="108" customHeight="1" hidden="1" outlineLevel="4">
      <c r="A82" s="376"/>
      <c r="B82" s="377" t="s">
        <v>144</v>
      </c>
      <c r="C82" s="370" t="s">
        <v>145</v>
      </c>
      <c r="D82" s="371" t="s">
        <v>146</v>
      </c>
      <c r="E82" s="372">
        <v>58480.28</v>
      </c>
      <c r="F82" s="483"/>
      <c r="G82" s="488"/>
      <c r="H82" s="486"/>
      <c r="I82" s="483"/>
      <c r="J82" s="483"/>
      <c r="K82" s="483"/>
      <c r="L82" s="483"/>
      <c r="M82" s="486"/>
      <c r="N82" s="483"/>
      <c r="O82" s="486"/>
      <c r="P82" s="483">
        <f t="shared" si="1"/>
        <v>0</v>
      </c>
      <c r="Q82" s="379" t="s">
        <v>147</v>
      </c>
    </row>
    <row r="83" spans="1:17" ht="38.25" customHeight="1" hidden="1" outlineLevel="2">
      <c r="A83" s="376" t="s">
        <v>148</v>
      </c>
      <c r="B83" s="377" t="s">
        <v>149</v>
      </c>
      <c r="C83" s="370" t="s">
        <v>150</v>
      </c>
      <c r="D83" s="371" t="s">
        <v>148</v>
      </c>
      <c r="E83" s="373">
        <v>5843542.64</v>
      </c>
      <c r="F83" s="488"/>
      <c r="G83" s="488"/>
      <c r="H83" s="486"/>
      <c r="I83" s="483"/>
      <c r="J83" s="483"/>
      <c r="K83" s="488"/>
      <c r="L83" s="483"/>
      <c r="M83" s="486"/>
      <c r="N83" s="483"/>
      <c r="O83" s="486"/>
      <c r="P83" s="483">
        <f t="shared" si="1"/>
        <v>0</v>
      </c>
      <c r="Q83" s="375" t="s">
        <v>257</v>
      </c>
    </row>
    <row r="84" spans="1:17" ht="15" customHeight="1" hidden="1" outlineLevel="3">
      <c r="A84" s="376" t="s">
        <v>151</v>
      </c>
      <c r="B84" s="377"/>
      <c r="C84" s="370" t="s">
        <v>23</v>
      </c>
      <c r="D84" s="371" t="s">
        <v>151</v>
      </c>
      <c r="E84" s="372"/>
      <c r="F84" s="483"/>
      <c r="G84" s="488"/>
      <c r="H84" s="486"/>
      <c r="I84" s="483"/>
      <c r="J84" s="483"/>
      <c r="K84" s="483"/>
      <c r="L84" s="483"/>
      <c r="M84" s="486"/>
      <c r="N84" s="483"/>
      <c r="O84" s="486"/>
      <c r="P84" s="483">
        <f t="shared" si="1"/>
        <v>0</v>
      </c>
      <c r="Q84" s="378"/>
    </row>
    <row r="85" spans="1:17" ht="128.25" customHeight="1" hidden="1" outlineLevel="4">
      <c r="A85" s="376" t="s">
        <v>152</v>
      </c>
      <c r="B85" s="377"/>
      <c r="C85" s="370" t="s">
        <v>153</v>
      </c>
      <c r="D85" s="371" t="s">
        <v>152</v>
      </c>
      <c r="E85" s="372"/>
      <c r="F85" s="483"/>
      <c r="G85" s="488"/>
      <c r="H85" s="486"/>
      <c r="I85" s="483"/>
      <c r="J85" s="483"/>
      <c r="K85" s="483"/>
      <c r="L85" s="483"/>
      <c r="M85" s="486"/>
      <c r="N85" s="483"/>
      <c r="O85" s="486"/>
      <c r="P85" s="483">
        <f t="shared" si="1"/>
        <v>0</v>
      </c>
      <c r="Q85" s="378"/>
    </row>
    <row r="86" spans="1:17" ht="128.25" customHeight="1" hidden="1" outlineLevel="5">
      <c r="A86" s="376" t="s">
        <v>152</v>
      </c>
      <c r="B86" s="377"/>
      <c r="C86" s="370" t="s">
        <v>154</v>
      </c>
      <c r="D86" s="371" t="s">
        <v>152</v>
      </c>
      <c r="E86" s="372"/>
      <c r="F86" s="483"/>
      <c r="G86" s="488"/>
      <c r="H86" s="486"/>
      <c r="I86" s="483"/>
      <c r="J86" s="483"/>
      <c r="K86" s="483"/>
      <c r="L86" s="483"/>
      <c r="M86" s="486"/>
      <c r="N86" s="483"/>
      <c r="O86" s="486"/>
      <c r="P86" s="483">
        <f t="shared" si="1"/>
        <v>0</v>
      </c>
      <c r="Q86" s="378"/>
    </row>
    <row r="87" spans="1:17" ht="69.75" customHeight="1" hidden="1" outlineLevel="2" collapsed="1">
      <c r="A87" s="376" t="s">
        <v>155</v>
      </c>
      <c r="B87" s="377" t="s">
        <v>156</v>
      </c>
      <c r="C87" s="370" t="s">
        <v>157</v>
      </c>
      <c r="D87" s="371" t="s">
        <v>155</v>
      </c>
      <c r="E87" s="372">
        <v>6172719.82</v>
      </c>
      <c r="F87" s="483"/>
      <c r="G87" s="488"/>
      <c r="H87" s="486"/>
      <c r="I87" s="483"/>
      <c r="J87" s="483"/>
      <c r="K87" s="483"/>
      <c r="L87" s="483"/>
      <c r="M87" s="486"/>
      <c r="N87" s="483"/>
      <c r="O87" s="486"/>
      <c r="P87" s="483">
        <f t="shared" si="1"/>
        <v>0</v>
      </c>
      <c r="Q87" s="375"/>
    </row>
    <row r="88" spans="1:17" ht="98.25" customHeight="1" hidden="1" outlineLevel="1" collapsed="1">
      <c r="A88" s="376" t="s">
        <v>158</v>
      </c>
      <c r="B88" s="377" t="s">
        <v>159</v>
      </c>
      <c r="C88" s="370" t="s">
        <v>160</v>
      </c>
      <c r="D88" s="371" t="s">
        <v>158</v>
      </c>
      <c r="E88" s="372">
        <v>485335.25</v>
      </c>
      <c r="F88" s="483"/>
      <c r="G88" s="488"/>
      <c r="H88" s="486"/>
      <c r="I88" s="483"/>
      <c r="J88" s="483"/>
      <c r="K88" s="483"/>
      <c r="L88" s="483"/>
      <c r="M88" s="486"/>
      <c r="N88" s="483"/>
      <c r="O88" s="486"/>
      <c r="P88" s="483">
        <f t="shared" si="1"/>
        <v>0</v>
      </c>
      <c r="Q88" s="379"/>
    </row>
    <row r="89" spans="1:17" ht="15.75" customHeight="1" hidden="1" outlineLevel="3">
      <c r="A89" s="376" t="s">
        <v>161</v>
      </c>
      <c r="B89" s="377"/>
      <c r="C89" s="370" t="s">
        <v>23</v>
      </c>
      <c r="D89" s="371" t="s">
        <v>161</v>
      </c>
      <c r="E89" s="372">
        <v>2890.68</v>
      </c>
      <c r="F89" s="483"/>
      <c r="G89" s="488"/>
      <c r="H89" s="486"/>
      <c r="I89" s="483"/>
      <c r="J89" s="483"/>
      <c r="K89" s="483"/>
      <c r="L89" s="483"/>
      <c r="M89" s="486"/>
      <c r="N89" s="483"/>
      <c r="O89" s="486"/>
      <c r="P89" s="483">
        <f t="shared" si="1"/>
        <v>0</v>
      </c>
      <c r="Q89" s="378"/>
    </row>
    <row r="90" spans="1:17" ht="90" customHeight="1" hidden="1" outlineLevel="4">
      <c r="A90" s="376" t="s">
        <v>162</v>
      </c>
      <c r="B90" s="377"/>
      <c r="C90" s="370" t="s">
        <v>163</v>
      </c>
      <c r="D90" s="371" t="s">
        <v>162</v>
      </c>
      <c r="E90" s="372">
        <v>0</v>
      </c>
      <c r="F90" s="483"/>
      <c r="G90" s="488"/>
      <c r="H90" s="486"/>
      <c r="I90" s="483"/>
      <c r="J90" s="483"/>
      <c r="K90" s="483"/>
      <c r="L90" s="483"/>
      <c r="M90" s="486"/>
      <c r="N90" s="483"/>
      <c r="O90" s="486"/>
      <c r="P90" s="483">
        <f t="shared" si="1"/>
        <v>0</v>
      </c>
      <c r="Q90" s="378"/>
    </row>
    <row r="91" spans="1:17" ht="90" customHeight="1" hidden="1" outlineLevel="5">
      <c r="A91" s="376" t="s">
        <v>162</v>
      </c>
      <c r="B91" s="377"/>
      <c r="C91" s="370" t="s">
        <v>164</v>
      </c>
      <c r="D91" s="371" t="s">
        <v>162</v>
      </c>
      <c r="E91" s="372">
        <v>2890.68</v>
      </c>
      <c r="F91" s="483"/>
      <c r="G91" s="488"/>
      <c r="H91" s="486"/>
      <c r="I91" s="483"/>
      <c r="J91" s="483"/>
      <c r="K91" s="483"/>
      <c r="L91" s="483"/>
      <c r="M91" s="486"/>
      <c r="N91" s="483"/>
      <c r="O91" s="486"/>
      <c r="P91" s="483">
        <f t="shared" si="1"/>
        <v>0</v>
      </c>
      <c r="Q91" s="378"/>
    </row>
    <row r="92" spans="1:17" ht="90" customHeight="1" hidden="1" outlineLevel="5">
      <c r="A92" s="376" t="s">
        <v>165</v>
      </c>
      <c r="B92" s="377"/>
      <c r="C92" s="370" t="s">
        <v>164</v>
      </c>
      <c r="D92" s="371" t="s">
        <v>165</v>
      </c>
      <c r="E92" s="372">
        <v>53.23</v>
      </c>
      <c r="F92" s="483"/>
      <c r="G92" s="488"/>
      <c r="H92" s="486"/>
      <c r="I92" s="483"/>
      <c r="J92" s="483"/>
      <c r="K92" s="483"/>
      <c r="L92" s="483"/>
      <c r="M92" s="486"/>
      <c r="N92" s="483"/>
      <c r="O92" s="486"/>
      <c r="P92" s="483">
        <f t="shared" si="1"/>
        <v>0</v>
      </c>
      <c r="Q92" s="378"/>
    </row>
    <row r="93" spans="1:17" ht="15.75" customHeight="1" hidden="1" outlineLevel="3">
      <c r="A93" s="376" t="s">
        <v>166</v>
      </c>
      <c r="B93" s="377"/>
      <c r="C93" s="370" t="s">
        <v>23</v>
      </c>
      <c r="D93" s="371" t="s">
        <v>166</v>
      </c>
      <c r="E93" s="372">
        <v>53.23</v>
      </c>
      <c r="F93" s="483"/>
      <c r="G93" s="488"/>
      <c r="H93" s="486"/>
      <c r="I93" s="483"/>
      <c r="J93" s="483"/>
      <c r="K93" s="483"/>
      <c r="L93" s="483"/>
      <c r="M93" s="486"/>
      <c r="N93" s="483"/>
      <c r="O93" s="486"/>
      <c r="P93" s="483">
        <f t="shared" si="1"/>
        <v>0</v>
      </c>
      <c r="Q93" s="378"/>
    </row>
    <row r="94" spans="1:17" ht="90" customHeight="1" hidden="1" outlineLevel="4">
      <c r="A94" s="376" t="s">
        <v>167</v>
      </c>
      <c r="B94" s="377"/>
      <c r="C94" s="370" t="s">
        <v>168</v>
      </c>
      <c r="D94" s="371" t="s">
        <v>167</v>
      </c>
      <c r="E94" s="372">
        <v>53.23</v>
      </c>
      <c r="F94" s="483"/>
      <c r="G94" s="488"/>
      <c r="H94" s="486"/>
      <c r="I94" s="483"/>
      <c r="J94" s="483"/>
      <c r="K94" s="483"/>
      <c r="L94" s="483"/>
      <c r="M94" s="486"/>
      <c r="N94" s="483"/>
      <c r="O94" s="486"/>
      <c r="P94" s="483">
        <f t="shared" si="1"/>
        <v>0</v>
      </c>
      <c r="Q94" s="378"/>
    </row>
    <row r="95" spans="1:17" ht="90" customHeight="1" hidden="1" outlineLevel="5">
      <c r="A95" s="376" t="s">
        <v>169</v>
      </c>
      <c r="B95" s="377"/>
      <c r="C95" s="370" t="s">
        <v>170</v>
      </c>
      <c r="D95" s="371" t="s">
        <v>169</v>
      </c>
      <c r="E95" s="372">
        <v>481.81</v>
      </c>
      <c r="F95" s="483"/>
      <c r="G95" s="488"/>
      <c r="H95" s="486"/>
      <c r="I95" s="483"/>
      <c r="J95" s="483"/>
      <c r="K95" s="483"/>
      <c r="L95" s="483"/>
      <c r="M95" s="486"/>
      <c r="N95" s="483"/>
      <c r="O95" s="486"/>
      <c r="P95" s="483">
        <f t="shared" si="1"/>
        <v>0</v>
      </c>
      <c r="Q95" s="378"/>
    </row>
    <row r="96" spans="1:17" ht="15.75" customHeight="1" hidden="1" outlineLevel="3">
      <c r="A96" s="376" t="s">
        <v>171</v>
      </c>
      <c r="B96" s="377"/>
      <c r="C96" s="370" t="s">
        <v>23</v>
      </c>
      <c r="D96" s="371" t="s">
        <v>171</v>
      </c>
      <c r="E96" s="372">
        <v>481.81</v>
      </c>
      <c r="F96" s="483"/>
      <c r="G96" s="488"/>
      <c r="H96" s="486"/>
      <c r="I96" s="483"/>
      <c r="J96" s="483"/>
      <c r="K96" s="483"/>
      <c r="L96" s="483"/>
      <c r="M96" s="486"/>
      <c r="N96" s="483"/>
      <c r="O96" s="486"/>
      <c r="P96" s="483">
        <f t="shared" si="1"/>
        <v>0</v>
      </c>
      <c r="Q96" s="378"/>
    </row>
    <row r="97" spans="1:17" ht="45" customHeight="1" hidden="1" outlineLevel="4">
      <c r="A97" s="376" t="s">
        <v>172</v>
      </c>
      <c r="B97" s="377"/>
      <c r="C97" s="370" t="s">
        <v>173</v>
      </c>
      <c r="D97" s="371" t="s">
        <v>172</v>
      </c>
      <c r="E97" s="372">
        <v>0</v>
      </c>
      <c r="F97" s="483"/>
      <c r="G97" s="488"/>
      <c r="H97" s="486"/>
      <c r="I97" s="483"/>
      <c r="J97" s="483"/>
      <c r="K97" s="483"/>
      <c r="L97" s="483"/>
      <c r="M97" s="486"/>
      <c r="N97" s="483"/>
      <c r="O97" s="486"/>
      <c r="P97" s="483">
        <f t="shared" si="1"/>
        <v>0</v>
      </c>
      <c r="Q97" s="378"/>
    </row>
    <row r="98" spans="1:17" ht="60" customHeight="1" hidden="1" outlineLevel="5">
      <c r="A98" s="376" t="s">
        <v>172</v>
      </c>
      <c r="B98" s="377"/>
      <c r="C98" s="370" t="s">
        <v>174</v>
      </c>
      <c r="D98" s="371" t="s">
        <v>172</v>
      </c>
      <c r="E98" s="372">
        <v>481.81</v>
      </c>
      <c r="F98" s="483"/>
      <c r="G98" s="488"/>
      <c r="H98" s="486"/>
      <c r="I98" s="483"/>
      <c r="J98" s="483"/>
      <c r="K98" s="483"/>
      <c r="L98" s="483"/>
      <c r="M98" s="486"/>
      <c r="N98" s="483"/>
      <c r="O98" s="486"/>
      <c r="P98" s="483">
        <f t="shared" si="1"/>
        <v>0</v>
      </c>
      <c r="Q98" s="378"/>
    </row>
    <row r="99" spans="1:17" ht="60" customHeight="1" hidden="1" outlineLevel="5">
      <c r="A99" s="376" t="s">
        <v>175</v>
      </c>
      <c r="B99" s="377"/>
      <c r="C99" s="370" t="s">
        <v>176</v>
      </c>
      <c r="D99" s="371" t="s">
        <v>175</v>
      </c>
      <c r="E99" s="372">
        <v>39261.54</v>
      </c>
      <c r="F99" s="483"/>
      <c r="G99" s="488"/>
      <c r="H99" s="486"/>
      <c r="I99" s="483"/>
      <c r="J99" s="483"/>
      <c r="K99" s="483"/>
      <c r="L99" s="483"/>
      <c r="M99" s="486"/>
      <c r="N99" s="483"/>
      <c r="O99" s="486"/>
      <c r="P99" s="483">
        <f t="shared" si="1"/>
        <v>0</v>
      </c>
      <c r="Q99" s="378"/>
    </row>
    <row r="100" spans="1:17" ht="15.75" customHeight="1" hidden="1" outlineLevel="3">
      <c r="A100" s="376" t="s">
        <v>177</v>
      </c>
      <c r="B100" s="377"/>
      <c r="C100" s="370" t="s">
        <v>23</v>
      </c>
      <c r="D100" s="371" t="s">
        <v>177</v>
      </c>
      <c r="E100" s="372">
        <v>39261.54</v>
      </c>
      <c r="F100" s="483"/>
      <c r="G100" s="488"/>
      <c r="H100" s="486"/>
      <c r="I100" s="483"/>
      <c r="J100" s="483"/>
      <c r="K100" s="483"/>
      <c r="L100" s="483"/>
      <c r="M100" s="486"/>
      <c r="N100" s="483"/>
      <c r="O100" s="486"/>
      <c r="P100" s="483">
        <f t="shared" si="1"/>
        <v>0</v>
      </c>
      <c r="Q100" s="378"/>
    </row>
    <row r="101" spans="1:17" ht="60" customHeight="1" hidden="1" outlineLevel="4">
      <c r="A101" s="376" t="s">
        <v>178</v>
      </c>
      <c r="B101" s="377"/>
      <c r="C101" s="370" t="s">
        <v>179</v>
      </c>
      <c r="D101" s="371" t="s">
        <v>178</v>
      </c>
      <c r="E101" s="372">
        <v>0</v>
      </c>
      <c r="F101" s="483"/>
      <c r="G101" s="488"/>
      <c r="H101" s="486"/>
      <c r="I101" s="483"/>
      <c r="J101" s="483"/>
      <c r="K101" s="483"/>
      <c r="L101" s="483"/>
      <c r="M101" s="486"/>
      <c r="N101" s="483"/>
      <c r="O101" s="486"/>
      <c r="P101" s="483">
        <f t="shared" si="1"/>
        <v>0</v>
      </c>
      <c r="Q101" s="378"/>
    </row>
    <row r="102" spans="1:17" ht="60" customHeight="1" hidden="1" outlineLevel="5">
      <c r="A102" s="376" t="s">
        <v>178</v>
      </c>
      <c r="B102" s="377"/>
      <c r="C102" s="370" t="s">
        <v>180</v>
      </c>
      <c r="D102" s="371" t="s">
        <v>178</v>
      </c>
      <c r="E102" s="372">
        <v>39261.54</v>
      </c>
      <c r="F102" s="483"/>
      <c r="G102" s="488"/>
      <c r="H102" s="486"/>
      <c r="I102" s="483"/>
      <c r="J102" s="483"/>
      <c r="K102" s="483"/>
      <c r="L102" s="483"/>
      <c r="M102" s="486"/>
      <c r="N102" s="483"/>
      <c r="O102" s="486"/>
      <c r="P102" s="483">
        <f t="shared" si="1"/>
        <v>0</v>
      </c>
      <c r="Q102" s="378"/>
    </row>
    <row r="103" spans="1:17" ht="60" customHeight="1" hidden="1" outlineLevel="5">
      <c r="A103" s="376" t="s">
        <v>181</v>
      </c>
      <c r="B103" s="377"/>
      <c r="C103" s="370" t="s">
        <v>182</v>
      </c>
      <c r="D103" s="371" t="s">
        <v>181</v>
      </c>
      <c r="E103" s="372">
        <f>E104+E105</f>
        <v>10003098.77</v>
      </c>
      <c r="F103" s="483"/>
      <c r="G103" s="488"/>
      <c r="H103" s="486"/>
      <c r="I103" s="483"/>
      <c r="J103" s="483"/>
      <c r="K103" s="483"/>
      <c r="L103" s="483"/>
      <c r="M103" s="486"/>
      <c r="N103" s="483"/>
      <c r="O103" s="486"/>
      <c r="P103" s="483">
        <f t="shared" si="1"/>
        <v>0</v>
      </c>
      <c r="Q103" s="378"/>
    </row>
    <row r="104" spans="1:17" ht="78.75" customHeight="1" hidden="1" outlineLevel="1" collapsed="1">
      <c r="A104" s="376" t="s">
        <v>183</v>
      </c>
      <c r="B104" s="377" t="s">
        <v>184</v>
      </c>
      <c r="C104" s="370" t="s">
        <v>185</v>
      </c>
      <c r="D104" s="371" t="s">
        <v>183</v>
      </c>
      <c r="E104" s="372">
        <f>E105+E106</f>
        <v>6949209.46</v>
      </c>
      <c r="F104" s="483"/>
      <c r="G104" s="488"/>
      <c r="H104" s="486"/>
      <c r="I104" s="483"/>
      <c r="J104" s="483"/>
      <c r="K104" s="483"/>
      <c r="L104" s="483"/>
      <c r="M104" s="486"/>
      <c r="N104" s="483"/>
      <c r="O104" s="486"/>
      <c r="P104" s="483">
        <f t="shared" si="1"/>
        <v>0</v>
      </c>
      <c r="Q104" s="378"/>
    </row>
    <row r="105" spans="1:17" ht="62.25" customHeight="1" hidden="1" outlineLevel="2">
      <c r="A105" s="376" t="s">
        <v>186</v>
      </c>
      <c r="B105" s="377" t="s">
        <v>187</v>
      </c>
      <c r="C105" s="370" t="s">
        <v>188</v>
      </c>
      <c r="D105" s="371" t="s">
        <v>186</v>
      </c>
      <c r="E105" s="372">
        <v>3053889.31</v>
      </c>
      <c r="F105" s="483"/>
      <c r="G105" s="488"/>
      <c r="H105" s="486"/>
      <c r="I105" s="483"/>
      <c r="J105" s="483"/>
      <c r="K105" s="483"/>
      <c r="L105" s="483"/>
      <c r="M105" s="486"/>
      <c r="N105" s="483"/>
      <c r="O105" s="486"/>
      <c r="P105" s="483">
        <f t="shared" si="1"/>
        <v>0</v>
      </c>
      <c r="Q105" s="379"/>
    </row>
    <row r="106" spans="1:17" ht="45.75" customHeight="1" hidden="1" outlineLevel="3">
      <c r="A106" s="376" t="s">
        <v>189</v>
      </c>
      <c r="B106" s="377" t="s">
        <v>190</v>
      </c>
      <c r="C106" s="370" t="s">
        <v>191</v>
      </c>
      <c r="D106" s="371" t="s">
        <v>192</v>
      </c>
      <c r="E106" s="373">
        <v>3895320.15</v>
      </c>
      <c r="F106" s="488"/>
      <c r="G106" s="488"/>
      <c r="H106" s="486"/>
      <c r="I106" s="483"/>
      <c r="J106" s="483"/>
      <c r="K106" s="488"/>
      <c r="L106" s="483"/>
      <c r="M106" s="486"/>
      <c r="N106" s="483"/>
      <c r="O106" s="486"/>
      <c r="P106" s="483">
        <f t="shared" si="1"/>
        <v>0</v>
      </c>
      <c r="Q106" s="375" t="s">
        <v>292</v>
      </c>
    </row>
    <row r="107" spans="1:17" ht="75.75" customHeight="1" outlineLevel="1" collapsed="1">
      <c r="A107" s="376" t="s">
        <v>193</v>
      </c>
      <c r="B107" s="377" t="s">
        <v>194</v>
      </c>
      <c r="C107" s="370" t="s">
        <v>195</v>
      </c>
      <c r="D107" s="371" t="s">
        <v>193</v>
      </c>
      <c r="E107" s="372">
        <f>E108+E109</f>
        <v>19228417.560000002</v>
      </c>
      <c r="F107" s="483">
        <v>10.2</v>
      </c>
      <c r="G107" s="488"/>
      <c r="H107" s="486"/>
      <c r="I107" s="483"/>
      <c r="J107" s="483"/>
      <c r="K107" s="483">
        <v>34.8</v>
      </c>
      <c r="L107" s="483"/>
      <c r="M107" s="486"/>
      <c r="N107" s="483"/>
      <c r="O107" s="486"/>
      <c r="P107" s="483">
        <f t="shared" si="1"/>
        <v>24.599999999999998</v>
      </c>
      <c r="Q107" s="378"/>
    </row>
    <row r="108" spans="1:17" ht="75.75" customHeight="1" hidden="1" outlineLevel="2">
      <c r="A108" s="376" t="s">
        <v>196</v>
      </c>
      <c r="B108" s="377" t="s">
        <v>197</v>
      </c>
      <c r="C108" s="370" t="s">
        <v>198</v>
      </c>
      <c r="D108" s="371" t="s">
        <v>196</v>
      </c>
      <c r="E108" s="372">
        <v>7574993.66</v>
      </c>
      <c r="F108" s="483"/>
      <c r="G108" s="488"/>
      <c r="H108" s="486"/>
      <c r="I108" s="483"/>
      <c r="J108" s="483"/>
      <c r="K108" s="483"/>
      <c r="L108" s="483"/>
      <c r="M108" s="486"/>
      <c r="N108" s="483"/>
      <c r="O108" s="486"/>
      <c r="P108" s="483">
        <f t="shared" si="1"/>
        <v>0</v>
      </c>
      <c r="Q108" s="379"/>
    </row>
    <row r="109" spans="1:17" ht="36" customHeight="1" hidden="1" outlineLevel="2">
      <c r="A109" s="376" t="s">
        <v>199</v>
      </c>
      <c r="B109" s="377" t="s">
        <v>200</v>
      </c>
      <c r="C109" s="370" t="s">
        <v>201</v>
      </c>
      <c r="D109" s="371" t="s">
        <v>199</v>
      </c>
      <c r="E109" s="372">
        <v>11653423.9</v>
      </c>
      <c r="F109" s="483"/>
      <c r="G109" s="488"/>
      <c r="H109" s="486"/>
      <c r="I109" s="483"/>
      <c r="J109" s="483"/>
      <c r="K109" s="483"/>
      <c r="L109" s="483"/>
      <c r="M109" s="486"/>
      <c r="N109" s="483"/>
      <c r="O109" s="486"/>
      <c r="P109" s="483">
        <f t="shared" si="1"/>
        <v>0</v>
      </c>
      <c r="Q109" s="375"/>
    </row>
    <row r="110" spans="1:17" ht="42" customHeight="1" outlineLevel="1" collapsed="1">
      <c r="A110" s="376" t="s">
        <v>202</v>
      </c>
      <c r="B110" s="377" t="s">
        <v>203</v>
      </c>
      <c r="C110" s="370" t="s">
        <v>204</v>
      </c>
      <c r="D110" s="371" t="s">
        <v>202</v>
      </c>
      <c r="E110" s="372">
        <v>1668058.37</v>
      </c>
      <c r="F110" s="483">
        <v>1.1</v>
      </c>
      <c r="G110" s="488"/>
      <c r="H110" s="486"/>
      <c r="I110" s="483"/>
      <c r="J110" s="483"/>
      <c r="K110" s="483">
        <v>4.5</v>
      </c>
      <c r="L110" s="483"/>
      <c r="M110" s="486"/>
      <c r="N110" s="483"/>
      <c r="O110" s="486"/>
      <c r="P110" s="483">
        <f t="shared" si="1"/>
        <v>3.4</v>
      </c>
      <c r="Q110" s="379" t="s">
        <v>291</v>
      </c>
    </row>
    <row r="111" spans="1:17" ht="41.25" customHeight="1" outlineLevel="1">
      <c r="A111" s="376" t="s">
        <v>205</v>
      </c>
      <c r="B111" s="377" t="s">
        <v>206</v>
      </c>
      <c r="C111" s="370" t="s">
        <v>207</v>
      </c>
      <c r="D111" s="371" t="s">
        <v>205</v>
      </c>
      <c r="E111" s="372">
        <f>E112+E113+E114+E115+E116+E117+E118</f>
        <v>7747287.5</v>
      </c>
      <c r="F111" s="483">
        <v>5.5</v>
      </c>
      <c r="G111" s="488"/>
      <c r="H111" s="486"/>
      <c r="I111" s="483"/>
      <c r="J111" s="483"/>
      <c r="K111" s="483">
        <v>12.7</v>
      </c>
      <c r="L111" s="483"/>
      <c r="M111" s="483"/>
      <c r="N111" s="483"/>
      <c r="O111" s="486"/>
      <c r="P111" s="483">
        <f t="shared" si="1"/>
        <v>7.199999999999999</v>
      </c>
      <c r="Q111" s="378"/>
    </row>
    <row r="112" spans="1:17" ht="72" customHeight="1" hidden="1" outlineLevel="1">
      <c r="A112" s="376"/>
      <c r="B112" s="377" t="s">
        <v>208</v>
      </c>
      <c r="C112" s="370" t="s">
        <v>209</v>
      </c>
      <c r="D112" s="371" t="s">
        <v>210</v>
      </c>
      <c r="E112" s="372">
        <v>0</v>
      </c>
      <c r="F112" s="372">
        <v>17538.6</v>
      </c>
      <c r="G112" s="373"/>
      <c r="H112" s="374"/>
      <c r="I112" s="372"/>
      <c r="J112" s="372"/>
      <c r="K112" s="372"/>
      <c r="L112" s="372">
        <f aca="true" t="shared" si="2" ref="L112:L118">K112-J112</f>
        <v>0</v>
      </c>
      <c r="M112" s="374"/>
      <c r="N112" s="372">
        <f aca="true" t="shared" si="3" ref="N112:N118">K112-I112</f>
        <v>0</v>
      </c>
      <c r="O112" s="374"/>
      <c r="P112" s="483">
        <f t="shared" si="1"/>
        <v>-17538.6</v>
      </c>
      <c r="Q112" s="378"/>
    </row>
    <row r="113" spans="1:17" ht="94.5" customHeight="1" hidden="1" outlineLevel="5">
      <c r="A113" s="376" t="s">
        <v>211</v>
      </c>
      <c r="B113" s="377" t="s">
        <v>212</v>
      </c>
      <c r="C113" s="370" t="s">
        <v>213</v>
      </c>
      <c r="D113" s="371" t="s">
        <v>211</v>
      </c>
      <c r="E113" s="372">
        <v>898909.4</v>
      </c>
      <c r="F113" s="372">
        <v>409910.6</v>
      </c>
      <c r="G113" s="373">
        <f aca="true" t="shared" si="4" ref="G113:G128">F113-E113</f>
        <v>-488998.80000000005</v>
      </c>
      <c r="H113" s="374">
        <f aca="true" t="shared" si="5" ref="H113:H128">F113/E113</f>
        <v>0.4560088035568434</v>
      </c>
      <c r="I113" s="372">
        <v>936864.56</v>
      </c>
      <c r="J113" s="372"/>
      <c r="K113" s="372">
        <v>605149.2</v>
      </c>
      <c r="L113" s="372">
        <f t="shared" si="2"/>
        <v>605149.2</v>
      </c>
      <c r="M113" s="374">
        <f>I113/G113</f>
        <v>-1.9158831473615068</v>
      </c>
      <c r="N113" s="372">
        <f t="shared" si="3"/>
        <v>-331715.3600000001</v>
      </c>
      <c r="O113" s="374">
        <f aca="true" t="shared" si="6" ref="O113:O125">K113/I113</f>
        <v>0.6459302932752626</v>
      </c>
      <c r="P113" s="483">
        <f t="shared" si="1"/>
        <v>195238.59999999998</v>
      </c>
      <c r="Q113" s="375" t="s">
        <v>259</v>
      </c>
    </row>
    <row r="114" spans="1:17" ht="61.5" customHeight="1" hidden="1" outlineLevel="5">
      <c r="A114" s="376" t="s">
        <v>214</v>
      </c>
      <c r="B114" s="377" t="s">
        <v>215</v>
      </c>
      <c r="C114" s="370" t="s">
        <v>216</v>
      </c>
      <c r="D114" s="371" t="s">
        <v>214</v>
      </c>
      <c r="E114" s="372">
        <v>91219.38</v>
      </c>
      <c r="F114" s="372">
        <v>27826.12</v>
      </c>
      <c r="G114" s="373">
        <f t="shared" si="4"/>
        <v>-63393.26000000001</v>
      </c>
      <c r="H114" s="374">
        <f t="shared" si="5"/>
        <v>0.3050461426069767</v>
      </c>
      <c r="I114" s="372">
        <v>33077</v>
      </c>
      <c r="J114" s="372">
        <v>4255</v>
      </c>
      <c r="K114" s="372"/>
      <c r="L114" s="372">
        <f t="shared" si="2"/>
        <v>-4255</v>
      </c>
      <c r="M114" s="374">
        <f>I114/G114</f>
        <v>-0.5217747123274619</v>
      </c>
      <c r="N114" s="372">
        <f t="shared" si="3"/>
        <v>-33077</v>
      </c>
      <c r="O114" s="374">
        <f t="shared" si="6"/>
        <v>0</v>
      </c>
      <c r="P114" s="483">
        <f t="shared" si="1"/>
        <v>-27826.12</v>
      </c>
      <c r="Q114" s="375" t="s">
        <v>293</v>
      </c>
    </row>
    <row r="115" spans="1:17" ht="79.5" customHeight="1" hidden="1" outlineLevel="5">
      <c r="A115" s="376" t="s">
        <v>217</v>
      </c>
      <c r="B115" s="377" t="s">
        <v>218</v>
      </c>
      <c r="C115" s="370" t="s">
        <v>219</v>
      </c>
      <c r="D115" s="371" t="s">
        <v>217</v>
      </c>
      <c r="E115" s="372">
        <v>0</v>
      </c>
      <c r="F115" s="372"/>
      <c r="G115" s="373">
        <f t="shared" si="4"/>
        <v>0</v>
      </c>
      <c r="H115" s="374"/>
      <c r="I115" s="372">
        <v>6000000</v>
      </c>
      <c r="J115" s="372"/>
      <c r="K115" s="372">
        <v>6000000</v>
      </c>
      <c r="L115" s="372">
        <f t="shared" si="2"/>
        <v>6000000</v>
      </c>
      <c r="M115" s="374"/>
      <c r="N115" s="372">
        <f t="shared" si="3"/>
        <v>0</v>
      </c>
      <c r="O115" s="374"/>
      <c r="P115" s="483">
        <f t="shared" si="1"/>
        <v>6000000</v>
      </c>
      <c r="Q115" s="375"/>
    </row>
    <row r="116" spans="1:17" ht="45" customHeight="1" hidden="1" outlineLevel="5">
      <c r="A116" s="376" t="s">
        <v>220</v>
      </c>
      <c r="B116" s="377"/>
      <c r="C116" s="370" t="s">
        <v>221</v>
      </c>
      <c r="D116" s="371" t="s">
        <v>220</v>
      </c>
      <c r="E116" s="372"/>
      <c r="F116" s="372"/>
      <c r="G116" s="373">
        <f t="shared" si="4"/>
        <v>0</v>
      </c>
      <c r="H116" s="374" t="e">
        <f t="shared" si="5"/>
        <v>#DIV/0!</v>
      </c>
      <c r="I116" s="372"/>
      <c r="J116" s="372"/>
      <c r="K116" s="372"/>
      <c r="L116" s="372">
        <f t="shared" si="2"/>
        <v>0</v>
      </c>
      <c r="M116" s="374" t="e">
        <f aca="true" t="shared" si="7" ref="M116:M125">I116/G116</f>
        <v>#DIV/0!</v>
      </c>
      <c r="N116" s="372">
        <f t="shared" si="3"/>
        <v>0</v>
      </c>
      <c r="O116" s="374" t="e">
        <f t="shared" si="6"/>
        <v>#DIV/0!</v>
      </c>
      <c r="P116" s="483">
        <f t="shared" si="1"/>
        <v>0</v>
      </c>
      <c r="Q116" s="375" t="s">
        <v>222</v>
      </c>
    </row>
    <row r="117" spans="1:17" ht="117" customHeight="1" hidden="1" outlineLevel="5">
      <c r="A117" s="376" t="s">
        <v>223</v>
      </c>
      <c r="B117" s="380" t="s">
        <v>224</v>
      </c>
      <c r="C117" s="381" t="s">
        <v>225</v>
      </c>
      <c r="D117" s="382" t="s">
        <v>223</v>
      </c>
      <c r="E117" s="383">
        <v>5165454.72</v>
      </c>
      <c r="F117" s="383">
        <v>3233827.3</v>
      </c>
      <c r="G117" s="384">
        <f t="shared" si="4"/>
        <v>-1931627.42</v>
      </c>
      <c r="H117" s="385">
        <f t="shared" si="5"/>
        <v>0.6260489105594174</v>
      </c>
      <c r="I117" s="383">
        <f>4745840.52+1000000</f>
        <v>5745840.52</v>
      </c>
      <c r="J117" s="383">
        <v>913882.48</v>
      </c>
      <c r="K117" s="383">
        <v>4519928.43</v>
      </c>
      <c r="L117" s="383">
        <f t="shared" si="2"/>
        <v>3606045.9499999997</v>
      </c>
      <c r="M117" s="385">
        <f t="shared" si="7"/>
        <v>-2.9746111804521806</v>
      </c>
      <c r="N117" s="383">
        <f t="shared" si="3"/>
        <v>-1225912.0899999999</v>
      </c>
      <c r="O117" s="385">
        <f t="shared" si="6"/>
        <v>0.7866435579384998</v>
      </c>
      <c r="P117" s="483">
        <f t="shared" si="1"/>
        <v>1286101.13</v>
      </c>
      <c r="Q117" s="386" t="s">
        <v>287</v>
      </c>
    </row>
    <row r="118" spans="1:17" ht="47.25" customHeight="1" hidden="1" outlineLevel="5" thickBot="1">
      <c r="A118" s="376"/>
      <c r="B118" s="377" t="s">
        <v>226</v>
      </c>
      <c r="C118" s="387" t="s">
        <v>227</v>
      </c>
      <c r="D118" s="388"/>
      <c r="E118" s="389">
        <v>1591704</v>
      </c>
      <c r="F118" s="389">
        <v>1591704</v>
      </c>
      <c r="G118" s="390">
        <f t="shared" si="4"/>
        <v>0</v>
      </c>
      <c r="H118" s="391">
        <f t="shared" si="5"/>
        <v>1</v>
      </c>
      <c r="I118" s="389">
        <v>1289000</v>
      </c>
      <c r="J118" s="389"/>
      <c r="K118" s="389">
        <v>1289000</v>
      </c>
      <c r="L118" s="383">
        <f t="shared" si="2"/>
        <v>1289000</v>
      </c>
      <c r="M118" s="391" t="e">
        <f t="shared" si="7"/>
        <v>#DIV/0!</v>
      </c>
      <c r="N118" s="383">
        <f t="shared" si="3"/>
        <v>0</v>
      </c>
      <c r="O118" s="391"/>
      <c r="P118" s="483">
        <f t="shared" si="1"/>
        <v>-302704</v>
      </c>
      <c r="Q118" s="392" t="s">
        <v>269</v>
      </c>
    </row>
    <row r="119" spans="1:17" ht="31.5" customHeight="1" hidden="1" thickBot="1">
      <c r="A119" s="376" t="s">
        <v>228</v>
      </c>
      <c r="B119" s="377" t="s">
        <v>226</v>
      </c>
      <c r="C119" s="424" t="s">
        <v>229</v>
      </c>
      <c r="D119" s="425" t="s">
        <v>228</v>
      </c>
      <c r="E119" s="426">
        <f>E120+E124+E125+E126+E127+E128</f>
        <v>3087425772.07</v>
      </c>
      <c r="F119" s="426">
        <f>F120+F124+F125+F126+F127+F128</f>
        <v>1472247111.5499997</v>
      </c>
      <c r="G119" s="427">
        <f t="shared" si="4"/>
        <v>-1615178660.5200005</v>
      </c>
      <c r="H119" s="428">
        <f t="shared" si="5"/>
        <v>0.4768526339543103</v>
      </c>
      <c r="I119" s="426">
        <f>I120+I124+I125+I126+I127+I128</f>
        <v>2536675142.27</v>
      </c>
      <c r="J119" s="426" t="s">
        <v>230</v>
      </c>
      <c r="K119" s="426">
        <f>K120+K124+K125+K126+K127+K128</f>
        <v>1294826540.86</v>
      </c>
      <c r="L119" s="426" t="s">
        <v>230</v>
      </c>
      <c r="M119" s="428">
        <f t="shared" si="7"/>
        <v>-1.570522942306164</v>
      </c>
      <c r="N119" s="426">
        <f>N120+N124+N125+N128</f>
        <v>-1173294298.98</v>
      </c>
      <c r="O119" s="428">
        <f t="shared" si="6"/>
        <v>0.5104423973269575</v>
      </c>
      <c r="P119" s="483">
        <f t="shared" si="1"/>
        <v>-177420570.68999982</v>
      </c>
      <c r="Q119" s="429"/>
    </row>
    <row r="120" spans="1:17" ht="39.75" customHeight="1" hidden="1" outlineLevel="2">
      <c r="A120" s="376" t="s">
        <v>231</v>
      </c>
      <c r="B120" s="377" t="s">
        <v>232</v>
      </c>
      <c r="C120" s="393" t="s">
        <v>233</v>
      </c>
      <c r="D120" s="394" t="s">
        <v>231</v>
      </c>
      <c r="E120" s="395">
        <v>473098326.55</v>
      </c>
      <c r="F120" s="395">
        <v>257860452.77</v>
      </c>
      <c r="G120" s="396">
        <f t="shared" si="4"/>
        <v>-215237873.78</v>
      </c>
      <c r="H120" s="397">
        <f t="shared" si="5"/>
        <v>0.545046216185987</v>
      </c>
      <c r="I120" s="395">
        <v>508358928.62</v>
      </c>
      <c r="J120" s="395" t="s">
        <v>230</v>
      </c>
      <c r="K120" s="395">
        <v>300984643.62</v>
      </c>
      <c r="L120" s="395" t="s">
        <v>230</v>
      </c>
      <c r="M120" s="397">
        <f t="shared" si="7"/>
        <v>-2.3618470099718896</v>
      </c>
      <c r="N120" s="383">
        <f aca="true" t="shared" si="8" ref="N120:N127">K120-I120</f>
        <v>-207374285</v>
      </c>
      <c r="O120" s="397">
        <f t="shared" si="6"/>
        <v>0.5920711266684312</v>
      </c>
      <c r="P120" s="483">
        <f t="shared" si="1"/>
        <v>43124190.849999994</v>
      </c>
      <c r="Q120" s="398"/>
    </row>
    <row r="121" spans="1:17" ht="42.75" customHeight="1" hidden="1" outlineLevel="3">
      <c r="A121" s="376" t="s">
        <v>234</v>
      </c>
      <c r="B121" s="377"/>
      <c r="C121" s="370" t="s">
        <v>235</v>
      </c>
      <c r="D121" s="371" t="s">
        <v>234</v>
      </c>
      <c r="E121" s="372"/>
      <c r="F121" s="372"/>
      <c r="G121" s="396">
        <f t="shared" si="4"/>
        <v>0</v>
      </c>
      <c r="H121" s="397" t="e">
        <f t="shared" si="5"/>
        <v>#DIV/0!</v>
      </c>
      <c r="I121" s="372"/>
      <c r="J121" s="372"/>
      <c r="K121" s="372"/>
      <c r="L121" s="372"/>
      <c r="M121" s="397" t="e">
        <f t="shared" si="7"/>
        <v>#DIV/0!</v>
      </c>
      <c r="N121" s="383">
        <f t="shared" si="8"/>
        <v>0</v>
      </c>
      <c r="O121" s="397" t="e">
        <f t="shared" si="6"/>
        <v>#DIV/0!</v>
      </c>
      <c r="P121" s="483">
        <f t="shared" si="1"/>
        <v>0</v>
      </c>
      <c r="Q121" s="399"/>
    </row>
    <row r="122" spans="1:17" ht="71.25" customHeight="1" hidden="1" outlineLevel="4">
      <c r="A122" s="376" t="s">
        <v>236</v>
      </c>
      <c r="B122" s="377"/>
      <c r="C122" s="370" t="s">
        <v>237</v>
      </c>
      <c r="D122" s="371" t="s">
        <v>236</v>
      </c>
      <c r="E122" s="372"/>
      <c r="F122" s="372"/>
      <c r="G122" s="396">
        <f t="shared" si="4"/>
        <v>0</v>
      </c>
      <c r="H122" s="397" t="e">
        <f t="shared" si="5"/>
        <v>#DIV/0!</v>
      </c>
      <c r="I122" s="372"/>
      <c r="J122" s="372"/>
      <c r="K122" s="372"/>
      <c r="L122" s="372"/>
      <c r="M122" s="397" t="e">
        <f t="shared" si="7"/>
        <v>#DIV/0!</v>
      </c>
      <c r="N122" s="383">
        <f t="shared" si="8"/>
        <v>0</v>
      </c>
      <c r="O122" s="397" t="e">
        <f t="shared" si="6"/>
        <v>#DIV/0!</v>
      </c>
      <c r="P122" s="483">
        <f t="shared" si="1"/>
        <v>0</v>
      </c>
      <c r="Q122" s="399"/>
    </row>
    <row r="123" spans="1:17" ht="71.25" customHeight="1" hidden="1" outlineLevel="5">
      <c r="A123" s="376" t="s">
        <v>236</v>
      </c>
      <c r="B123" s="377"/>
      <c r="C123" s="370" t="s">
        <v>238</v>
      </c>
      <c r="D123" s="371" t="s">
        <v>236</v>
      </c>
      <c r="E123" s="372"/>
      <c r="F123" s="372"/>
      <c r="G123" s="396">
        <f t="shared" si="4"/>
        <v>0</v>
      </c>
      <c r="H123" s="397" t="e">
        <f t="shared" si="5"/>
        <v>#DIV/0!</v>
      </c>
      <c r="I123" s="372"/>
      <c r="J123" s="372"/>
      <c r="K123" s="372"/>
      <c r="L123" s="372"/>
      <c r="M123" s="397" t="e">
        <f t="shared" si="7"/>
        <v>#DIV/0!</v>
      </c>
      <c r="N123" s="383">
        <f t="shared" si="8"/>
        <v>0</v>
      </c>
      <c r="O123" s="397" t="e">
        <f t="shared" si="6"/>
        <v>#DIV/0!</v>
      </c>
      <c r="P123" s="483">
        <f t="shared" si="1"/>
        <v>0</v>
      </c>
      <c r="Q123" s="399"/>
    </row>
    <row r="124" spans="1:17" ht="21" customHeight="1" hidden="1" outlineLevel="2" collapsed="1">
      <c r="A124" s="376" t="s">
        <v>239</v>
      </c>
      <c r="B124" s="377" t="s">
        <v>240</v>
      </c>
      <c r="C124" s="370" t="s">
        <v>241</v>
      </c>
      <c r="D124" s="371" t="s">
        <v>242</v>
      </c>
      <c r="E124" s="400">
        <v>1985905932.37</v>
      </c>
      <c r="F124" s="400">
        <v>867176693.05</v>
      </c>
      <c r="G124" s="396">
        <f t="shared" si="4"/>
        <v>-1118729239.32</v>
      </c>
      <c r="H124" s="397">
        <f t="shared" si="5"/>
        <v>0.436665543375009</v>
      </c>
      <c r="I124" s="372">
        <v>1360692967.97</v>
      </c>
      <c r="J124" s="395" t="s">
        <v>230</v>
      </c>
      <c r="K124" s="400">
        <v>616464859.3</v>
      </c>
      <c r="L124" s="395" t="s">
        <v>230</v>
      </c>
      <c r="M124" s="397">
        <f t="shared" si="7"/>
        <v>-1.2162844414409635</v>
      </c>
      <c r="N124" s="383">
        <f t="shared" si="8"/>
        <v>-744228108.6700001</v>
      </c>
      <c r="O124" s="397">
        <f t="shared" si="6"/>
        <v>0.4530521387346447</v>
      </c>
      <c r="P124" s="483">
        <f t="shared" si="1"/>
        <v>-250711833.75</v>
      </c>
      <c r="Q124" s="399"/>
    </row>
    <row r="125" spans="1:17" ht="22.5" customHeight="1" hidden="1" outlineLevel="5">
      <c r="A125" s="376" t="s">
        <v>243</v>
      </c>
      <c r="B125" s="377" t="s">
        <v>244</v>
      </c>
      <c r="C125" s="370" t="s">
        <v>245</v>
      </c>
      <c r="D125" s="371" t="s">
        <v>246</v>
      </c>
      <c r="E125" s="372">
        <v>520683169.05</v>
      </c>
      <c r="F125" s="372">
        <v>303670042.49</v>
      </c>
      <c r="G125" s="396">
        <f t="shared" si="4"/>
        <v>-217013126.56</v>
      </c>
      <c r="H125" s="397">
        <f t="shared" si="5"/>
        <v>0.583214631354522</v>
      </c>
      <c r="I125" s="372">
        <v>564952483.03</v>
      </c>
      <c r="J125" s="395" t="s">
        <v>230</v>
      </c>
      <c r="K125" s="372">
        <v>343260577.72</v>
      </c>
      <c r="L125" s="395" t="s">
        <v>230</v>
      </c>
      <c r="M125" s="397">
        <f t="shared" si="7"/>
        <v>-2.603310186740254</v>
      </c>
      <c r="N125" s="383">
        <f t="shared" si="8"/>
        <v>-221691905.30999994</v>
      </c>
      <c r="O125" s="397">
        <f t="shared" si="6"/>
        <v>0.6075919445100877</v>
      </c>
      <c r="P125" s="483">
        <f t="shared" si="1"/>
        <v>39590535.23000002</v>
      </c>
      <c r="Q125" s="399"/>
    </row>
    <row r="126" spans="1:17" ht="22.5" customHeight="1" hidden="1" outlineLevel="5">
      <c r="A126" s="376"/>
      <c r="B126" s="377" t="s">
        <v>247</v>
      </c>
      <c r="C126" s="370" t="s">
        <v>248</v>
      </c>
      <c r="D126" s="371"/>
      <c r="E126" s="372">
        <v>110208359.34</v>
      </c>
      <c r="F126" s="372">
        <v>43228146.6</v>
      </c>
      <c r="G126" s="396">
        <f t="shared" si="4"/>
        <v>-66980212.74</v>
      </c>
      <c r="H126" s="397">
        <f t="shared" si="5"/>
        <v>0.39224017904702074</v>
      </c>
      <c r="I126" s="372">
        <v>119974047.4</v>
      </c>
      <c r="J126" s="395" t="s">
        <v>230</v>
      </c>
      <c r="K126" s="372">
        <v>51419744.97</v>
      </c>
      <c r="L126" s="395" t="s">
        <v>230</v>
      </c>
      <c r="M126" s="397"/>
      <c r="N126" s="383">
        <f t="shared" si="8"/>
        <v>-68554302.43</v>
      </c>
      <c r="O126" s="397"/>
      <c r="P126" s="483">
        <f t="shared" si="1"/>
        <v>8191598.369999997</v>
      </c>
      <c r="Q126" s="399"/>
    </row>
    <row r="127" spans="1:17" ht="54" customHeight="1" hidden="1" outlineLevel="5">
      <c r="A127" s="376"/>
      <c r="B127" s="377" t="s">
        <v>249</v>
      </c>
      <c r="C127" s="370" t="s">
        <v>250</v>
      </c>
      <c r="D127" s="371"/>
      <c r="E127" s="383">
        <v>1669917.56</v>
      </c>
      <c r="F127" s="383">
        <v>605111.56</v>
      </c>
      <c r="G127" s="396"/>
      <c r="H127" s="397"/>
      <c r="I127" s="372">
        <v>936811.59</v>
      </c>
      <c r="J127" s="395" t="s">
        <v>230</v>
      </c>
      <c r="K127" s="383">
        <v>936811.59</v>
      </c>
      <c r="L127" s="395" t="s">
        <v>230</v>
      </c>
      <c r="M127" s="397"/>
      <c r="N127" s="383">
        <f t="shared" si="8"/>
        <v>0</v>
      </c>
      <c r="O127" s="397"/>
      <c r="P127" s="483">
        <f t="shared" si="1"/>
        <v>331700.0299999999</v>
      </c>
      <c r="Q127" s="399"/>
    </row>
    <row r="128" spans="1:17" ht="40.5" customHeight="1" hidden="1" outlineLevel="1">
      <c r="A128" s="376" t="s">
        <v>251</v>
      </c>
      <c r="B128" s="377" t="s">
        <v>252</v>
      </c>
      <c r="C128" s="370" t="s">
        <v>253</v>
      </c>
      <c r="D128" s="371" t="s">
        <v>251</v>
      </c>
      <c r="E128" s="383">
        <v>-4139932.8</v>
      </c>
      <c r="F128" s="383">
        <v>-293334.92</v>
      </c>
      <c r="G128" s="396">
        <f t="shared" si="4"/>
        <v>3846597.88</v>
      </c>
      <c r="H128" s="397">
        <f t="shared" si="5"/>
        <v>0.07085499552070024</v>
      </c>
      <c r="I128" s="372">
        <v>-18240096.34</v>
      </c>
      <c r="J128" s="395" t="s">
        <v>230</v>
      </c>
      <c r="K128" s="383">
        <v>-18240096.34</v>
      </c>
      <c r="L128" s="395" t="s">
        <v>230</v>
      </c>
      <c r="M128" s="374"/>
      <c r="N128" s="383">
        <f>K128-I128</f>
        <v>0</v>
      </c>
      <c r="O128" s="374"/>
      <c r="P128" s="483">
        <f t="shared" si="1"/>
        <v>-17946761.419999998</v>
      </c>
      <c r="Q128" s="399"/>
    </row>
    <row r="129" spans="1:17" ht="23.25" customHeight="1" hidden="1">
      <c r="A129" s="496" t="s">
        <v>254</v>
      </c>
      <c r="B129" s="497"/>
      <c r="C129" s="498"/>
      <c r="D129" s="499"/>
      <c r="E129" s="430">
        <f>E119+E9</f>
        <v>3513539007.31</v>
      </c>
      <c r="F129" s="430">
        <f>F119+F9</f>
        <v>1472247331.3499997</v>
      </c>
      <c r="G129" s="431">
        <f>F129-E129</f>
        <v>-2041291675.9600003</v>
      </c>
      <c r="H129" s="432">
        <f>F129/E129</f>
        <v>0.4190212000740435</v>
      </c>
      <c r="I129" s="433">
        <f>I119+I9</f>
        <v>2536675142.27</v>
      </c>
      <c r="J129" s="395" t="s">
        <v>230</v>
      </c>
      <c r="K129" s="430">
        <f>K119+K9</f>
        <v>1294826805.1599998</v>
      </c>
      <c r="L129" s="395" t="s">
        <v>230</v>
      </c>
      <c r="M129" s="432">
        <f>I129/G129</f>
        <v>-1.2426813728503672</v>
      </c>
      <c r="N129" s="430">
        <f>N119+N9</f>
        <v>-1173294034.68</v>
      </c>
      <c r="O129" s="432">
        <f>K129/I129</f>
        <v>0.5104425015184623</v>
      </c>
      <c r="P129" s="483">
        <f t="shared" si="1"/>
        <v>-177420526.18999982</v>
      </c>
      <c r="Q129" s="434"/>
    </row>
    <row r="130" spans="1:17" ht="24.75" customHeight="1" hidden="1">
      <c r="A130" s="401"/>
      <c r="B130" s="402">
        <v>46</v>
      </c>
      <c r="C130" s="435" t="s">
        <v>255</v>
      </c>
      <c r="D130" s="403"/>
      <c r="E130" s="404">
        <v>39027</v>
      </c>
      <c r="F130" s="404">
        <v>2604.96</v>
      </c>
      <c r="G130" s="405"/>
      <c r="H130" s="432"/>
      <c r="I130" s="406"/>
      <c r="J130" s="406"/>
      <c r="K130" s="404">
        <v>-39027</v>
      </c>
      <c r="L130" s="406"/>
      <c r="M130" s="432"/>
      <c r="N130" s="404"/>
      <c r="O130" s="432"/>
      <c r="P130" s="483">
        <f t="shared" si="1"/>
        <v>-41631.96</v>
      </c>
      <c r="Q130" s="408"/>
    </row>
    <row r="131" spans="1:17" ht="26.25" customHeight="1" hidden="1" thickBot="1">
      <c r="A131" s="436"/>
      <c r="B131" s="437"/>
      <c r="C131" s="437"/>
      <c r="D131" s="437"/>
      <c r="E131" s="438">
        <f>E129++E130</f>
        <v>3513578034.31</v>
      </c>
      <c r="F131" s="438">
        <f>F129++F130</f>
        <v>1472249936.3099997</v>
      </c>
      <c r="G131" s="439">
        <f>F131-E131</f>
        <v>-2041328098.0000002</v>
      </c>
      <c r="H131" s="440">
        <f>F131/E131</f>
        <v>0.4190172872022527</v>
      </c>
      <c r="I131" s="441">
        <f>I129++I130</f>
        <v>2536675142.27</v>
      </c>
      <c r="J131" s="442" t="s">
        <v>230</v>
      </c>
      <c r="K131" s="438">
        <f>K129++K130</f>
        <v>1294787778.1599998</v>
      </c>
      <c r="L131" s="438" t="s">
        <v>230</v>
      </c>
      <c r="M131" s="440">
        <f>I131/G131</f>
        <v>-1.2426592005250494</v>
      </c>
      <c r="N131" s="438">
        <f>N129++N130</f>
        <v>-1173294034.68</v>
      </c>
      <c r="O131" s="440">
        <f>K131/I131</f>
        <v>0.5104271164187505</v>
      </c>
      <c r="P131" s="483">
        <f t="shared" si="1"/>
        <v>-177462158.14999986</v>
      </c>
      <c r="Q131" s="443"/>
    </row>
    <row r="132" ht="23.25">
      <c r="E132" s="409"/>
    </row>
    <row r="135" ht="23.25">
      <c r="E135" s="409"/>
    </row>
  </sheetData>
  <sheetProtection/>
  <mergeCells count="7">
    <mergeCell ref="A129:D129"/>
    <mergeCell ref="A1:D1"/>
    <mergeCell ref="A2:D2"/>
    <mergeCell ref="A3:E3"/>
    <mergeCell ref="A4:Q4"/>
    <mergeCell ref="A5:D5"/>
    <mergeCell ref="A6:Q6"/>
  </mergeCells>
  <printOptions horizontalCentered="1"/>
  <pageMargins left="0" right="0" top="0.1968503937007874" bottom="0" header="0.3937007874015748" footer="0.3937007874015748"/>
  <pageSetup blackAndWhite="1" errors="blank" fitToHeight="1" fitToWidth="1" horizontalDpi="600" verticalDpi="600" orientation="landscape" paperSize="9" scale="64" r:id="rId1"/>
  <rowBreaks count="1" manualBreakCount="1">
    <brk id="130" max="16" man="1"/>
  </rowBreaks>
</worksheet>
</file>

<file path=xl/worksheets/sheet4.xml><?xml version="1.0" encoding="utf-8"?>
<worksheet xmlns="http://schemas.openxmlformats.org/spreadsheetml/2006/main" xmlns:r="http://schemas.openxmlformats.org/officeDocument/2006/relationships">
  <sheetPr>
    <tabColor theme="0" tint="-0.04997999966144562"/>
    <pageSetUpPr fitToPage="1"/>
  </sheetPr>
  <dimension ref="A1:Q137"/>
  <sheetViews>
    <sheetView showGridLines="0" showZeros="0" view="pageBreakPreview" zoomScale="85" zoomScaleNormal="75" zoomScaleSheetLayoutView="85" zoomScalePageLayoutView="0" workbookViewId="0" topLeftCell="B1">
      <pane ySplit="9" topLeftCell="A65" activePane="bottomLeft" state="frozen"/>
      <selection pane="topLeft" activeCell="A1" sqref="A1"/>
      <selection pane="bottomLeft" activeCell="K137" sqref="K137"/>
    </sheetView>
  </sheetViews>
  <sheetFormatPr defaultColWidth="9.140625" defaultRowHeight="15" outlineLevelRow="5"/>
  <cols>
    <col min="1" max="1" width="9.140625" style="1" hidden="1" customWidth="1"/>
    <col min="2" max="2" width="5.28125" style="1" customWidth="1"/>
    <col min="3" max="3" width="27.421875" style="2" customWidth="1"/>
    <col min="4" max="4" width="18.00390625" style="1" hidden="1" customWidth="1"/>
    <col min="5" max="6" width="21.421875" style="1" bestFit="1" customWidth="1"/>
    <col min="7" max="7" width="20.57421875" style="1" customWidth="1"/>
    <col min="8" max="8" width="10.28125" style="1" customWidth="1"/>
    <col min="9" max="9" width="20.28125" style="1" customWidth="1"/>
    <col min="10" max="10" width="17.57421875" style="1" hidden="1" customWidth="1"/>
    <col min="11" max="11" width="21.421875" style="1" bestFit="1" customWidth="1"/>
    <col min="12" max="12" width="19.140625" style="1" hidden="1" customWidth="1"/>
    <col min="13" max="13" width="14.28125" style="1" hidden="1" customWidth="1"/>
    <col min="14" max="14" width="21.140625" style="1" customWidth="1"/>
    <col min="15" max="15" width="13.8515625" style="1" customWidth="1"/>
    <col min="16" max="16" width="19.28125" style="1" customWidth="1"/>
    <col min="17" max="17" width="50.28125" style="2" bestFit="1" customWidth="1"/>
    <col min="18" max="16384" width="9.140625" style="1" customWidth="1"/>
  </cols>
  <sheetData>
    <row r="1" spans="1:4" ht="13.5" customHeight="1">
      <c r="A1" s="535" t="s">
        <v>0</v>
      </c>
      <c r="B1" s="535"/>
      <c r="C1" s="536"/>
      <c r="D1" s="536"/>
    </row>
    <row r="2" spans="1:4" ht="15" customHeight="1" hidden="1">
      <c r="A2" s="535"/>
      <c r="B2" s="535"/>
      <c r="C2" s="536"/>
      <c r="D2" s="536"/>
    </row>
    <row r="3" spans="1:5" ht="18" customHeight="1">
      <c r="A3" s="537"/>
      <c r="B3" s="537"/>
      <c r="C3" s="537"/>
      <c r="D3" s="537"/>
      <c r="E3" s="537"/>
    </row>
    <row r="4" spans="1:17" ht="15" customHeight="1">
      <c r="A4" s="538" t="s">
        <v>318</v>
      </c>
      <c r="B4" s="538"/>
      <c r="C4" s="538"/>
      <c r="D4" s="538"/>
      <c r="E4" s="538"/>
      <c r="F4" s="538"/>
      <c r="G4" s="538"/>
      <c r="H4" s="538"/>
      <c r="I4" s="538"/>
      <c r="J4" s="538"/>
      <c r="K4" s="538"/>
      <c r="L4" s="538"/>
      <c r="M4" s="538"/>
      <c r="N4" s="538"/>
      <c r="O4" s="538"/>
      <c r="P4" s="538"/>
      <c r="Q4" s="538"/>
    </row>
    <row r="5" spans="1:4" ht="0.75" customHeight="1">
      <c r="A5" s="539"/>
      <c r="B5" s="539"/>
      <c r="C5" s="540"/>
      <c r="D5" s="540"/>
    </row>
    <row r="6" spans="1:17" ht="12.75" customHeight="1" thickBot="1">
      <c r="A6" s="541" t="s">
        <v>1</v>
      </c>
      <c r="B6" s="541"/>
      <c r="C6" s="541"/>
      <c r="D6" s="541"/>
      <c r="E6" s="541"/>
      <c r="F6" s="541"/>
      <c r="G6" s="541"/>
      <c r="H6" s="541"/>
      <c r="I6" s="541"/>
      <c r="J6" s="541"/>
      <c r="K6" s="541"/>
      <c r="L6" s="541"/>
      <c r="M6" s="541"/>
      <c r="N6" s="541"/>
      <c r="O6" s="541"/>
      <c r="P6" s="541"/>
      <c r="Q6" s="541"/>
    </row>
    <row r="7" spans="1:17" s="4" customFormat="1" ht="24" customHeight="1">
      <c r="A7" s="3"/>
      <c r="B7" s="524"/>
      <c r="C7" s="525" t="s">
        <v>2</v>
      </c>
      <c r="D7" s="527" t="s">
        <v>3</v>
      </c>
      <c r="E7" s="530">
        <v>2022</v>
      </c>
      <c r="F7" s="530"/>
      <c r="G7" s="530"/>
      <c r="H7" s="531"/>
      <c r="I7" s="532">
        <v>2023</v>
      </c>
      <c r="J7" s="530"/>
      <c r="K7" s="530"/>
      <c r="L7" s="530"/>
      <c r="M7" s="530"/>
      <c r="N7" s="530"/>
      <c r="O7" s="531"/>
      <c r="P7" s="533" t="s">
        <v>262</v>
      </c>
      <c r="Q7" s="510" t="s">
        <v>4</v>
      </c>
    </row>
    <row r="8" spans="1:17" s="4" customFormat="1" ht="24" customHeight="1">
      <c r="A8" s="512" t="s">
        <v>5</v>
      </c>
      <c r="B8" s="524"/>
      <c r="C8" s="526"/>
      <c r="D8" s="528"/>
      <c r="E8" s="514" t="s">
        <v>261</v>
      </c>
      <c r="F8" s="516" t="s">
        <v>321</v>
      </c>
      <c r="G8" s="514" t="s">
        <v>6</v>
      </c>
      <c r="H8" s="519" t="s">
        <v>7</v>
      </c>
      <c r="I8" s="516" t="s">
        <v>8</v>
      </c>
      <c r="J8" s="516" t="s">
        <v>9</v>
      </c>
      <c r="K8" s="521" t="s">
        <v>321</v>
      </c>
      <c r="L8" s="523" t="s">
        <v>10</v>
      </c>
      <c r="M8" s="516" t="s">
        <v>11</v>
      </c>
      <c r="N8" s="523" t="s">
        <v>12</v>
      </c>
      <c r="O8" s="516" t="s">
        <v>13</v>
      </c>
      <c r="P8" s="534"/>
      <c r="Q8" s="511"/>
    </row>
    <row r="9" spans="1:17" s="4" customFormat="1" ht="57.75" customHeight="1">
      <c r="A9" s="513"/>
      <c r="B9" s="524"/>
      <c r="C9" s="526"/>
      <c r="D9" s="529"/>
      <c r="E9" s="515"/>
      <c r="F9" s="517"/>
      <c r="G9" s="518"/>
      <c r="H9" s="520"/>
      <c r="I9" s="517"/>
      <c r="J9" s="517"/>
      <c r="K9" s="522"/>
      <c r="L9" s="518"/>
      <c r="M9" s="517"/>
      <c r="N9" s="518"/>
      <c r="O9" s="517"/>
      <c r="P9" s="534"/>
      <c r="Q9" s="511"/>
    </row>
    <row r="10" spans="1:17" s="4" customFormat="1" ht="21" customHeight="1">
      <c r="A10" s="348"/>
      <c r="B10" s="6"/>
      <c r="C10" s="7">
        <v>1</v>
      </c>
      <c r="D10" s="349">
        <v>2</v>
      </c>
      <c r="E10" s="349">
        <v>9</v>
      </c>
      <c r="F10" s="349">
        <v>9</v>
      </c>
      <c r="G10" s="349">
        <v>5</v>
      </c>
      <c r="H10" s="349">
        <v>6</v>
      </c>
      <c r="I10" s="349">
        <v>7</v>
      </c>
      <c r="J10" s="349">
        <v>8</v>
      </c>
      <c r="K10" s="349">
        <v>9</v>
      </c>
      <c r="L10" s="349">
        <v>10</v>
      </c>
      <c r="M10" s="349">
        <v>11</v>
      </c>
      <c r="N10" s="349">
        <v>12</v>
      </c>
      <c r="O10" s="349">
        <v>13</v>
      </c>
      <c r="P10" s="349">
        <v>14</v>
      </c>
      <c r="Q10" s="349">
        <v>15</v>
      </c>
    </row>
    <row r="11" spans="1:17" s="16" customFormat="1" ht="33" customHeight="1" thickBot="1">
      <c r="A11" s="9" t="s">
        <v>14</v>
      </c>
      <c r="B11" s="10" t="s">
        <v>15</v>
      </c>
      <c r="C11" s="11" t="s">
        <v>16</v>
      </c>
      <c r="D11" s="12" t="s">
        <v>14</v>
      </c>
      <c r="E11" s="13">
        <f>E12+E80</f>
        <v>426113235.23999995</v>
      </c>
      <c r="F11" s="13">
        <f>F12+F80</f>
        <v>245139496.01000002</v>
      </c>
      <c r="G11" s="13">
        <f>F11-E11</f>
        <v>-180973739.22999993</v>
      </c>
      <c r="H11" s="14">
        <f>F11/E11</f>
        <v>0.5752919077294795</v>
      </c>
      <c r="I11" s="13">
        <f>I12+I80</f>
        <v>439109759.72</v>
      </c>
      <c r="J11" s="13">
        <f>J12+J80</f>
        <v>16636685.38</v>
      </c>
      <c r="K11" s="13">
        <f>K12+K80</f>
        <v>292833704.26</v>
      </c>
      <c r="L11" s="13">
        <f>K11-J11</f>
        <v>276197018.88</v>
      </c>
      <c r="M11" s="14">
        <f>K11/J11</f>
        <v>17.601685526374965</v>
      </c>
      <c r="N11" s="13">
        <f>K11-I11</f>
        <v>-146276055.46000004</v>
      </c>
      <c r="O11" s="14">
        <f>K11/I11</f>
        <v>0.6668804274510466</v>
      </c>
      <c r="P11" s="13">
        <f>K11-F11</f>
        <v>47694208.24999997</v>
      </c>
      <c r="Q11" s="15"/>
    </row>
    <row r="12" spans="1:17" s="16" customFormat="1" ht="33" customHeight="1">
      <c r="A12" s="9"/>
      <c r="B12" s="17" t="s">
        <v>17</v>
      </c>
      <c r="C12" s="18" t="s">
        <v>18</v>
      </c>
      <c r="D12" s="19"/>
      <c r="E12" s="20">
        <f>E13+E39+E40+E62+E66+E76</f>
        <v>352618682.34999996</v>
      </c>
      <c r="F12" s="20">
        <f>F13+F39+F40+F62+F66+F76</f>
        <v>204675549.92000002</v>
      </c>
      <c r="G12" s="20">
        <f>F12-E12</f>
        <v>-147943132.42999995</v>
      </c>
      <c r="H12" s="21">
        <f>F12/E12</f>
        <v>0.5804444295349175</v>
      </c>
      <c r="I12" s="20">
        <f>I13+I39+I40+I62+I66+I76</f>
        <v>309983927.63</v>
      </c>
      <c r="J12" s="20">
        <f>J13+J39+J40+J62+J66+J76</f>
        <v>14406368.9</v>
      </c>
      <c r="K12" s="20">
        <f>K13+K39+K40+K62+K66+K76</f>
        <v>200874340.88</v>
      </c>
      <c r="L12" s="22">
        <f>K12-J12</f>
        <v>186467971.98</v>
      </c>
      <c r="M12" s="21">
        <f>I12/G12</f>
        <v>-2.095291092857389</v>
      </c>
      <c r="N12" s="22">
        <f>K12-I12</f>
        <v>-109109586.75</v>
      </c>
      <c r="O12" s="21">
        <f>K12/I12</f>
        <v>0.6480153420075562</v>
      </c>
      <c r="P12" s="20">
        <f>K12-F12</f>
        <v>-3801209.0400000215</v>
      </c>
      <c r="Q12" s="23"/>
    </row>
    <row r="13" spans="1:17" s="32" customFormat="1" ht="52.5" customHeight="1" outlineLevel="2">
      <c r="A13" s="24" t="s">
        <v>19</v>
      </c>
      <c r="B13" s="25" t="s">
        <v>20</v>
      </c>
      <c r="C13" s="26" t="s">
        <v>21</v>
      </c>
      <c r="D13" s="27" t="s">
        <v>19</v>
      </c>
      <c r="E13" s="141">
        <v>190630093.23</v>
      </c>
      <c r="F13" s="343">
        <v>112605588.83</v>
      </c>
      <c r="G13" s="145">
        <f>F13-E13</f>
        <v>-78024504.39999999</v>
      </c>
      <c r="H13" s="29">
        <f>F13/E13</f>
        <v>0.5907020603202378</v>
      </c>
      <c r="I13" s="28">
        <v>179717500</v>
      </c>
      <c r="J13" s="30">
        <v>8290000</v>
      </c>
      <c r="K13" s="141">
        <v>120362357.45</v>
      </c>
      <c r="L13" s="28">
        <f>K13-J13</f>
        <v>112072357.45</v>
      </c>
      <c r="M13" s="29">
        <f>K13/J13</f>
        <v>14.51898159831122</v>
      </c>
      <c r="N13" s="28">
        <f>K13-I13</f>
        <v>-59355142.55</v>
      </c>
      <c r="O13" s="29">
        <f aca="true" t="shared" si="0" ref="O13:O78">K13/I13</f>
        <v>0.6697308690027405</v>
      </c>
      <c r="P13" s="28">
        <f>K13-F13</f>
        <v>7756768.620000005</v>
      </c>
      <c r="Q13" s="31" t="s">
        <v>266</v>
      </c>
    </row>
    <row r="14" spans="1:17" s="32" customFormat="1" ht="6.75" customHeight="1" outlineLevel="2">
      <c r="A14" s="24"/>
      <c r="B14" s="33"/>
      <c r="C14" s="34"/>
      <c r="D14" s="35"/>
      <c r="E14" s="42"/>
      <c r="F14" s="39"/>
      <c r="G14" s="146"/>
      <c r="H14" s="38"/>
      <c r="I14" s="36"/>
      <c r="J14" s="142"/>
      <c r="K14" s="142"/>
      <c r="L14" s="36"/>
      <c r="M14" s="38"/>
      <c r="N14" s="36"/>
      <c r="O14" s="38"/>
      <c r="P14" s="36"/>
      <c r="Q14" s="40"/>
    </row>
    <row r="15" spans="1:17" s="32" customFormat="1" ht="15.75" customHeight="1" hidden="1" outlineLevel="3">
      <c r="A15" s="24" t="s">
        <v>22</v>
      </c>
      <c r="B15" s="33"/>
      <c r="C15" s="41" t="s">
        <v>23</v>
      </c>
      <c r="D15" s="143" t="s">
        <v>22</v>
      </c>
      <c r="E15" s="51"/>
      <c r="F15" s="42"/>
      <c r="G15" s="43">
        <f aca="true" t="shared" si="1" ref="G15:G40">F15-E15</f>
        <v>0</v>
      </c>
      <c r="H15" s="44" t="e">
        <f aca="true" t="shared" si="2" ref="H15:H40">F15/E15</f>
        <v>#DIV/0!</v>
      </c>
      <c r="I15" s="42">
        <v>148555700</v>
      </c>
      <c r="J15" s="42"/>
      <c r="K15" s="42"/>
      <c r="L15" s="42"/>
      <c r="M15" s="45" t="e">
        <f aca="true" t="shared" si="3" ref="M15:M75">I15/G15</f>
        <v>#DIV/0!</v>
      </c>
      <c r="N15" s="42"/>
      <c r="O15" s="45">
        <f t="shared" si="0"/>
        <v>0</v>
      </c>
      <c r="P15" s="46">
        <f aca="true" t="shared" si="4" ref="P15:P40">K15-F15</f>
        <v>0</v>
      </c>
      <c r="Q15" s="47"/>
    </row>
    <row r="16" spans="1:17" s="32" customFormat="1" ht="210" customHeight="1" hidden="1" outlineLevel="4">
      <c r="A16" s="24" t="s">
        <v>24</v>
      </c>
      <c r="B16" s="48"/>
      <c r="C16" s="49" t="s">
        <v>25</v>
      </c>
      <c r="D16" s="144" t="s">
        <v>24</v>
      </c>
      <c r="E16" s="51"/>
      <c r="F16" s="51"/>
      <c r="G16" s="52">
        <f t="shared" si="1"/>
        <v>0</v>
      </c>
      <c r="H16" s="53" t="e">
        <f t="shared" si="2"/>
        <v>#DIV/0!</v>
      </c>
      <c r="I16" s="51">
        <v>148555700</v>
      </c>
      <c r="J16" s="51"/>
      <c r="K16" s="51"/>
      <c r="L16" s="51"/>
      <c r="M16" s="54" t="e">
        <f t="shared" si="3"/>
        <v>#DIV/0!</v>
      </c>
      <c r="N16" s="51"/>
      <c r="O16" s="54">
        <f t="shared" si="0"/>
        <v>0</v>
      </c>
      <c r="P16" s="55">
        <f t="shared" si="4"/>
        <v>0</v>
      </c>
      <c r="Q16" s="56"/>
    </row>
    <row r="17" spans="1:17" s="32" customFormat="1" ht="210" customHeight="1" hidden="1" outlineLevel="5">
      <c r="A17" s="24" t="s">
        <v>24</v>
      </c>
      <c r="B17" s="48"/>
      <c r="C17" s="49" t="s">
        <v>26</v>
      </c>
      <c r="D17" s="144" t="s">
        <v>24</v>
      </c>
      <c r="E17" s="51"/>
      <c r="F17" s="51"/>
      <c r="G17" s="52">
        <f t="shared" si="1"/>
        <v>0</v>
      </c>
      <c r="H17" s="53" t="e">
        <f t="shared" si="2"/>
        <v>#DIV/0!</v>
      </c>
      <c r="I17" s="51">
        <v>148555700</v>
      </c>
      <c r="J17" s="51"/>
      <c r="K17" s="51"/>
      <c r="L17" s="51"/>
      <c r="M17" s="54" t="e">
        <f t="shared" si="3"/>
        <v>#DIV/0!</v>
      </c>
      <c r="N17" s="51"/>
      <c r="O17" s="54">
        <f t="shared" si="0"/>
        <v>0</v>
      </c>
      <c r="P17" s="55">
        <f t="shared" si="4"/>
        <v>0</v>
      </c>
      <c r="Q17" s="56"/>
    </row>
    <row r="18" spans="1:17" s="32" customFormat="1" ht="210" customHeight="1" hidden="1" outlineLevel="5">
      <c r="A18" s="24" t="s">
        <v>27</v>
      </c>
      <c r="B18" s="48"/>
      <c r="C18" s="49" t="s">
        <v>28</v>
      </c>
      <c r="D18" s="144" t="s">
        <v>27</v>
      </c>
      <c r="E18" s="51"/>
      <c r="F18" s="51"/>
      <c r="G18" s="52">
        <f t="shared" si="1"/>
        <v>0</v>
      </c>
      <c r="H18" s="53" t="e">
        <f t="shared" si="2"/>
        <v>#DIV/0!</v>
      </c>
      <c r="I18" s="51">
        <v>0</v>
      </c>
      <c r="J18" s="51"/>
      <c r="K18" s="51"/>
      <c r="L18" s="51"/>
      <c r="M18" s="54" t="e">
        <f t="shared" si="3"/>
        <v>#DIV/0!</v>
      </c>
      <c r="N18" s="51"/>
      <c r="O18" s="54" t="e">
        <f t="shared" si="0"/>
        <v>#DIV/0!</v>
      </c>
      <c r="P18" s="55">
        <f t="shared" si="4"/>
        <v>0</v>
      </c>
      <c r="Q18" s="56"/>
    </row>
    <row r="19" spans="1:17" s="32" customFormat="1" ht="210" customHeight="1" hidden="1" outlineLevel="5">
      <c r="A19" s="24" t="s">
        <v>29</v>
      </c>
      <c r="B19" s="48"/>
      <c r="C19" s="49" t="s">
        <v>26</v>
      </c>
      <c r="D19" s="144" t="s">
        <v>29</v>
      </c>
      <c r="E19" s="51"/>
      <c r="F19" s="51"/>
      <c r="G19" s="52">
        <f t="shared" si="1"/>
        <v>0</v>
      </c>
      <c r="H19" s="53" t="e">
        <f t="shared" si="2"/>
        <v>#DIV/0!</v>
      </c>
      <c r="I19" s="51">
        <v>0</v>
      </c>
      <c r="J19" s="51"/>
      <c r="K19" s="51"/>
      <c r="L19" s="51"/>
      <c r="M19" s="54" t="e">
        <f t="shared" si="3"/>
        <v>#DIV/0!</v>
      </c>
      <c r="N19" s="51"/>
      <c r="O19" s="54" t="e">
        <f t="shared" si="0"/>
        <v>#DIV/0!</v>
      </c>
      <c r="P19" s="55">
        <f t="shared" si="4"/>
        <v>0</v>
      </c>
      <c r="Q19" s="56"/>
    </row>
    <row r="20" spans="1:17" s="32" customFormat="1" ht="210" customHeight="1" hidden="1" outlineLevel="5">
      <c r="A20" s="24" t="s">
        <v>30</v>
      </c>
      <c r="B20" s="48"/>
      <c r="C20" s="49" t="s">
        <v>26</v>
      </c>
      <c r="D20" s="144" t="s">
        <v>30</v>
      </c>
      <c r="E20" s="51"/>
      <c r="F20" s="51"/>
      <c r="G20" s="52">
        <f t="shared" si="1"/>
        <v>0</v>
      </c>
      <c r="H20" s="53" t="e">
        <f t="shared" si="2"/>
        <v>#DIV/0!</v>
      </c>
      <c r="I20" s="51">
        <v>0</v>
      </c>
      <c r="J20" s="51"/>
      <c r="K20" s="51"/>
      <c r="L20" s="51"/>
      <c r="M20" s="54" t="e">
        <f t="shared" si="3"/>
        <v>#DIV/0!</v>
      </c>
      <c r="N20" s="51"/>
      <c r="O20" s="54" t="e">
        <f t="shared" si="0"/>
        <v>#DIV/0!</v>
      </c>
      <c r="P20" s="55">
        <f t="shared" si="4"/>
        <v>0</v>
      </c>
      <c r="Q20" s="56"/>
    </row>
    <row r="21" spans="1:17" s="32" customFormat="1" ht="210" customHeight="1" hidden="1" outlineLevel="5">
      <c r="A21" s="24" t="s">
        <v>31</v>
      </c>
      <c r="B21" s="48"/>
      <c r="C21" s="49" t="s">
        <v>28</v>
      </c>
      <c r="D21" s="144" t="s">
        <v>31</v>
      </c>
      <c r="E21" s="51"/>
      <c r="F21" s="51"/>
      <c r="G21" s="52">
        <f t="shared" si="1"/>
        <v>0</v>
      </c>
      <c r="H21" s="53" t="e">
        <f t="shared" si="2"/>
        <v>#DIV/0!</v>
      </c>
      <c r="I21" s="51">
        <v>0</v>
      </c>
      <c r="J21" s="51"/>
      <c r="K21" s="51"/>
      <c r="L21" s="51"/>
      <c r="M21" s="54" t="e">
        <f t="shared" si="3"/>
        <v>#DIV/0!</v>
      </c>
      <c r="N21" s="51"/>
      <c r="O21" s="54" t="e">
        <f t="shared" si="0"/>
        <v>#DIV/0!</v>
      </c>
      <c r="P21" s="55">
        <f t="shared" si="4"/>
        <v>0</v>
      </c>
      <c r="Q21" s="56"/>
    </row>
    <row r="22" spans="1:17" s="32" customFormat="1" ht="15.75" customHeight="1" hidden="1" outlineLevel="3">
      <c r="A22" s="24" t="s">
        <v>32</v>
      </c>
      <c r="B22" s="48"/>
      <c r="C22" s="49" t="s">
        <v>23</v>
      </c>
      <c r="D22" s="144" t="s">
        <v>32</v>
      </c>
      <c r="E22" s="51"/>
      <c r="F22" s="51"/>
      <c r="G22" s="52">
        <f t="shared" si="1"/>
        <v>0</v>
      </c>
      <c r="H22" s="53" t="e">
        <f t="shared" si="2"/>
        <v>#DIV/0!</v>
      </c>
      <c r="I22" s="51">
        <v>750300</v>
      </c>
      <c r="J22" s="51"/>
      <c r="K22" s="51"/>
      <c r="L22" s="51"/>
      <c r="M22" s="54" t="e">
        <f t="shared" si="3"/>
        <v>#DIV/0!</v>
      </c>
      <c r="N22" s="51"/>
      <c r="O22" s="54">
        <f t="shared" si="0"/>
        <v>0</v>
      </c>
      <c r="P22" s="55">
        <f t="shared" si="4"/>
        <v>0</v>
      </c>
      <c r="Q22" s="56"/>
    </row>
    <row r="23" spans="1:17" s="32" customFormat="1" ht="330" customHeight="1" hidden="1" outlineLevel="4">
      <c r="A23" s="24" t="s">
        <v>33</v>
      </c>
      <c r="B23" s="48"/>
      <c r="C23" s="49" t="s">
        <v>34</v>
      </c>
      <c r="D23" s="144" t="s">
        <v>33</v>
      </c>
      <c r="E23" s="51"/>
      <c r="F23" s="51"/>
      <c r="G23" s="52">
        <f t="shared" si="1"/>
        <v>0</v>
      </c>
      <c r="H23" s="53" t="e">
        <f t="shared" si="2"/>
        <v>#DIV/0!</v>
      </c>
      <c r="I23" s="51">
        <v>750300</v>
      </c>
      <c r="J23" s="51"/>
      <c r="K23" s="51"/>
      <c r="L23" s="51"/>
      <c r="M23" s="54" t="e">
        <f t="shared" si="3"/>
        <v>#DIV/0!</v>
      </c>
      <c r="N23" s="51"/>
      <c r="O23" s="54">
        <f t="shared" si="0"/>
        <v>0</v>
      </c>
      <c r="P23" s="55">
        <f t="shared" si="4"/>
        <v>0</v>
      </c>
      <c r="Q23" s="56"/>
    </row>
    <row r="24" spans="1:17" s="32" customFormat="1" ht="330" customHeight="1" hidden="1" outlineLevel="5">
      <c r="A24" s="24" t="s">
        <v>33</v>
      </c>
      <c r="B24" s="48"/>
      <c r="C24" s="49" t="s">
        <v>35</v>
      </c>
      <c r="D24" s="144" t="s">
        <v>33</v>
      </c>
      <c r="E24" s="51"/>
      <c r="F24" s="51"/>
      <c r="G24" s="52">
        <f t="shared" si="1"/>
        <v>0</v>
      </c>
      <c r="H24" s="53" t="e">
        <f t="shared" si="2"/>
        <v>#DIV/0!</v>
      </c>
      <c r="I24" s="51">
        <v>750300</v>
      </c>
      <c r="J24" s="51"/>
      <c r="K24" s="51"/>
      <c r="L24" s="51"/>
      <c r="M24" s="54" t="e">
        <f t="shared" si="3"/>
        <v>#DIV/0!</v>
      </c>
      <c r="N24" s="51"/>
      <c r="O24" s="54">
        <f t="shared" si="0"/>
        <v>0</v>
      </c>
      <c r="P24" s="55">
        <f t="shared" si="4"/>
        <v>0</v>
      </c>
      <c r="Q24" s="56"/>
    </row>
    <row r="25" spans="1:17" s="32" customFormat="1" ht="330" customHeight="1" hidden="1" outlineLevel="5">
      <c r="A25" s="24" t="s">
        <v>36</v>
      </c>
      <c r="B25" s="48"/>
      <c r="C25" s="49" t="s">
        <v>35</v>
      </c>
      <c r="D25" s="144" t="s">
        <v>36</v>
      </c>
      <c r="E25" s="51"/>
      <c r="F25" s="51"/>
      <c r="G25" s="52">
        <f t="shared" si="1"/>
        <v>0</v>
      </c>
      <c r="H25" s="53" t="e">
        <f t="shared" si="2"/>
        <v>#DIV/0!</v>
      </c>
      <c r="I25" s="51">
        <v>0</v>
      </c>
      <c r="J25" s="51"/>
      <c r="K25" s="51"/>
      <c r="L25" s="51"/>
      <c r="M25" s="54" t="e">
        <f t="shared" si="3"/>
        <v>#DIV/0!</v>
      </c>
      <c r="N25" s="51"/>
      <c r="O25" s="54" t="e">
        <f t="shared" si="0"/>
        <v>#DIV/0!</v>
      </c>
      <c r="P25" s="55">
        <f t="shared" si="4"/>
        <v>0</v>
      </c>
      <c r="Q25" s="56"/>
    </row>
    <row r="26" spans="1:17" s="32" customFormat="1" ht="15.75" customHeight="1" hidden="1" outlineLevel="5">
      <c r="A26" s="24" t="s">
        <v>37</v>
      </c>
      <c r="B26" s="48"/>
      <c r="C26" s="49">
        <v>1.82101020200121E+19</v>
      </c>
      <c r="D26" s="144" t="s">
        <v>37</v>
      </c>
      <c r="E26" s="51"/>
      <c r="F26" s="51"/>
      <c r="G26" s="52">
        <f t="shared" si="1"/>
        <v>0</v>
      </c>
      <c r="H26" s="53" t="e">
        <f t="shared" si="2"/>
        <v>#DIV/0!</v>
      </c>
      <c r="I26" s="51">
        <v>0</v>
      </c>
      <c r="J26" s="51"/>
      <c r="K26" s="51"/>
      <c r="L26" s="51"/>
      <c r="M26" s="54" t="e">
        <f t="shared" si="3"/>
        <v>#DIV/0!</v>
      </c>
      <c r="N26" s="51"/>
      <c r="O26" s="54" t="e">
        <f t="shared" si="0"/>
        <v>#DIV/0!</v>
      </c>
      <c r="P26" s="55">
        <f t="shared" si="4"/>
        <v>0</v>
      </c>
      <c r="Q26" s="56"/>
    </row>
    <row r="27" spans="1:17" s="32" customFormat="1" ht="330" customHeight="1" hidden="1" outlineLevel="5">
      <c r="A27" s="24" t="s">
        <v>38</v>
      </c>
      <c r="B27" s="48"/>
      <c r="C27" s="49" t="s">
        <v>35</v>
      </c>
      <c r="D27" s="144" t="s">
        <v>38</v>
      </c>
      <c r="E27" s="51"/>
      <c r="F27" s="51"/>
      <c r="G27" s="52">
        <f t="shared" si="1"/>
        <v>0</v>
      </c>
      <c r="H27" s="53" t="e">
        <f t="shared" si="2"/>
        <v>#DIV/0!</v>
      </c>
      <c r="I27" s="51">
        <v>0</v>
      </c>
      <c r="J27" s="51"/>
      <c r="K27" s="51"/>
      <c r="L27" s="51"/>
      <c r="M27" s="54" t="e">
        <f t="shared" si="3"/>
        <v>#DIV/0!</v>
      </c>
      <c r="N27" s="51"/>
      <c r="O27" s="54" t="e">
        <f t="shared" si="0"/>
        <v>#DIV/0!</v>
      </c>
      <c r="P27" s="55">
        <f t="shared" si="4"/>
        <v>0</v>
      </c>
      <c r="Q27" s="56"/>
    </row>
    <row r="28" spans="1:17" s="32" customFormat="1" ht="15.75" customHeight="1" hidden="1" outlineLevel="3">
      <c r="A28" s="24" t="s">
        <v>39</v>
      </c>
      <c r="B28" s="48"/>
      <c r="C28" s="49" t="s">
        <v>23</v>
      </c>
      <c r="D28" s="144" t="s">
        <v>39</v>
      </c>
      <c r="E28" s="51"/>
      <c r="F28" s="51"/>
      <c r="G28" s="52">
        <f t="shared" si="1"/>
        <v>0</v>
      </c>
      <c r="H28" s="53" t="e">
        <f t="shared" si="2"/>
        <v>#DIV/0!</v>
      </c>
      <c r="I28" s="51">
        <v>450200</v>
      </c>
      <c r="J28" s="51"/>
      <c r="K28" s="51"/>
      <c r="L28" s="51"/>
      <c r="M28" s="54" t="e">
        <f t="shared" si="3"/>
        <v>#DIV/0!</v>
      </c>
      <c r="N28" s="51"/>
      <c r="O28" s="54">
        <f t="shared" si="0"/>
        <v>0</v>
      </c>
      <c r="P28" s="55">
        <f t="shared" si="4"/>
        <v>0</v>
      </c>
      <c r="Q28" s="56"/>
    </row>
    <row r="29" spans="1:17" s="32" customFormat="1" ht="120" customHeight="1" hidden="1" outlineLevel="4">
      <c r="A29" s="24" t="s">
        <v>40</v>
      </c>
      <c r="B29" s="48"/>
      <c r="C29" s="49" t="s">
        <v>41</v>
      </c>
      <c r="D29" s="144" t="s">
        <v>40</v>
      </c>
      <c r="E29" s="51"/>
      <c r="F29" s="51"/>
      <c r="G29" s="52">
        <f t="shared" si="1"/>
        <v>0</v>
      </c>
      <c r="H29" s="53" t="e">
        <f t="shared" si="2"/>
        <v>#DIV/0!</v>
      </c>
      <c r="I29" s="51">
        <v>450200</v>
      </c>
      <c r="J29" s="51"/>
      <c r="K29" s="51"/>
      <c r="L29" s="51"/>
      <c r="M29" s="54" t="e">
        <f t="shared" si="3"/>
        <v>#DIV/0!</v>
      </c>
      <c r="N29" s="51"/>
      <c r="O29" s="54">
        <f t="shared" si="0"/>
        <v>0</v>
      </c>
      <c r="P29" s="55">
        <f t="shared" si="4"/>
        <v>0</v>
      </c>
      <c r="Q29" s="56"/>
    </row>
    <row r="30" spans="1:17" s="32" customFormat="1" ht="120" customHeight="1" hidden="1" outlineLevel="5">
      <c r="A30" s="24" t="s">
        <v>40</v>
      </c>
      <c r="B30" s="48"/>
      <c r="C30" s="49" t="s">
        <v>42</v>
      </c>
      <c r="D30" s="144" t="s">
        <v>40</v>
      </c>
      <c r="E30" s="51"/>
      <c r="F30" s="51"/>
      <c r="G30" s="52">
        <f t="shared" si="1"/>
        <v>0</v>
      </c>
      <c r="H30" s="53" t="e">
        <f t="shared" si="2"/>
        <v>#DIV/0!</v>
      </c>
      <c r="I30" s="51">
        <v>450200</v>
      </c>
      <c r="J30" s="51"/>
      <c r="K30" s="51"/>
      <c r="L30" s="51"/>
      <c r="M30" s="54" t="e">
        <f t="shared" si="3"/>
        <v>#DIV/0!</v>
      </c>
      <c r="N30" s="51"/>
      <c r="O30" s="54">
        <f t="shared" si="0"/>
        <v>0</v>
      </c>
      <c r="P30" s="55">
        <f t="shared" si="4"/>
        <v>0</v>
      </c>
      <c r="Q30" s="56"/>
    </row>
    <row r="31" spans="1:17" s="32" customFormat="1" ht="120" customHeight="1" hidden="1" outlineLevel="5">
      <c r="A31" s="24" t="s">
        <v>43</v>
      </c>
      <c r="B31" s="48"/>
      <c r="C31" s="49" t="s">
        <v>44</v>
      </c>
      <c r="D31" s="144" t="s">
        <v>43</v>
      </c>
      <c r="E31" s="51"/>
      <c r="F31" s="51"/>
      <c r="G31" s="52">
        <f t="shared" si="1"/>
        <v>0</v>
      </c>
      <c r="H31" s="53" t="e">
        <f t="shared" si="2"/>
        <v>#DIV/0!</v>
      </c>
      <c r="I31" s="51">
        <v>0</v>
      </c>
      <c r="J31" s="51"/>
      <c r="K31" s="51"/>
      <c r="L31" s="51"/>
      <c r="M31" s="54" t="e">
        <f t="shared" si="3"/>
        <v>#DIV/0!</v>
      </c>
      <c r="N31" s="51"/>
      <c r="O31" s="54" t="e">
        <f t="shared" si="0"/>
        <v>#DIV/0!</v>
      </c>
      <c r="P31" s="55">
        <f t="shared" si="4"/>
        <v>0</v>
      </c>
      <c r="Q31" s="56"/>
    </row>
    <row r="32" spans="1:17" s="32" customFormat="1" ht="15.75" customHeight="1" hidden="1" outlineLevel="5">
      <c r="A32" s="24" t="s">
        <v>45</v>
      </c>
      <c r="B32" s="48"/>
      <c r="C32" s="49">
        <v>1.82101020300121E+19</v>
      </c>
      <c r="D32" s="144" t="s">
        <v>45</v>
      </c>
      <c r="E32" s="51"/>
      <c r="F32" s="51"/>
      <c r="G32" s="52">
        <f t="shared" si="1"/>
        <v>0</v>
      </c>
      <c r="H32" s="53" t="e">
        <f t="shared" si="2"/>
        <v>#DIV/0!</v>
      </c>
      <c r="I32" s="51">
        <v>0</v>
      </c>
      <c r="J32" s="51"/>
      <c r="K32" s="51"/>
      <c r="L32" s="51"/>
      <c r="M32" s="54" t="e">
        <f t="shared" si="3"/>
        <v>#DIV/0!</v>
      </c>
      <c r="N32" s="51"/>
      <c r="O32" s="54" t="e">
        <f t="shared" si="0"/>
        <v>#DIV/0!</v>
      </c>
      <c r="P32" s="55">
        <f t="shared" si="4"/>
        <v>0</v>
      </c>
      <c r="Q32" s="56"/>
    </row>
    <row r="33" spans="1:17" s="32" customFormat="1" ht="120" customHeight="1" hidden="1" outlineLevel="5">
      <c r="A33" s="24" t="s">
        <v>46</v>
      </c>
      <c r="B33" s="48"/>
      <c r="C33" s="49" t="s">
        <v>44</v>
      </c>
      <c r="D33" s="144" t="s">
        <v>46</v>
      </c>
      <c r="E33" s="51"/>
      <c r="F33" s="51"/>
      <c r="G33" s="52">
        <f t="shared" si="1"/>
        <v>0</v>
      </c>
      <c r="H33" s="53" t="e">
        <f t="shared" si="2"/>
        <v>#DIV/0!</v>
      </c>
      <c r="I33" s="51">
        <v>0</v>
      </c>
      <c r="J33" s="51"/>
      <c r="K33" s="51"/>
      <c r="L33" s="51"/>
      <c r="M33" s="54" t="e">
        <f t="shared" si="3"/>
        <v>#DIV/0!</v>
      </c>
      <c r="N33" s="51"/>
      <c r="O33" s="54" t="e">
        <f t="shared" si="0"/>
        <v>#DIV/0!</v>
      </c>
      <c r="P33" s="55">
        <f t="shared" si="4"/>
        <v>0</v>
      </c>
      <c r="Q33" s="56"/>
    </row>
    <row r="34" spans="1:17" s="32" customFormat="1" ht="120" customHeight="1" hidden="1" outlineLevel="5">
      <c r="A34" s="24" t="s">
        <v>47</v>
      </c>
      <c r="B34" s="48"/>
      <c r="C34" s="49" t="s">
        <v>44</v>
      </c>
      <c r="D34" s="144" t="s">
        <v>47</v>
      </c>
      <c r="E34" s="51"/>
      <c r="F34" s="51"/>
      <c r="G34" s="52">
        <f t="shared" si="1"/>
        <v>0</v>
      </c>
      <c r="H34" s="53" t="e">
        <f t="shared" si="2"/>
        <v>#DIV/0!</v>
      </c>
      <c r="I34" s="51">
        <v>0</v>
      </c>
      <c r="J34" s="51"/>
      <c r="K34" s="51"/>
      <c r="L34" s="51"/>
      <c r="M34" s="54" t="e">
        <f t="shared" si="3"/>
        <v>#DIV/0!</v>
      </c>
      <c r="N34" s="51"/>
      <c r="O34" s="54" t="e">
        <f t="shared" si="0"/>
        <v>#DIV/0!</v>
      </c>
      <c r="P34" s="55">
        <f t="shared" si="4"/>
        <v>0</v>
      </c>
      <c r="Q34" s="56"/>
    </row>
    <row r="35" spans="1:17" s="32" customFormat="1" ht="15.75" customHeight="1" hidden="1" outlineLevel="3">
      <c r="A35" s="24" t="s">
        <v>48</v>
      </c>
      <c r="B35" s="48"/>
      <c r="C35" s="49" t="s">
        <v>23</v>
      </c>
      <c r="D35" s="144" t="s">
        <v>48</v>
      </c>
      <c r="E35" s="51"/>
      <c r="F35" s="51"/>
      <c r="G35" s="52">
        <f t="shared" si="1"/>
        <v>0</v>
      </c>
      <c r="H35" s="53" t="e">
        <f t="shared" si="2"/>
        <v>#DIV/0!</v>
      </c>
      <c r="I35" s="51">
        <v>300100</v>
      </c>
      <c r="J35" s="51"/>
      <c r="K35" s="51"/>
      <c r="L35" s="51"/>
      <c r="M35" s="54" t="e">
        <f t="shared" si="3"/>
        <v>#DIV/0!</v>
      </c>
      <c r="N35" s="51"/>
      <c r="O35" s="54">
        <f t="shared" si="0"/>
        <v>0</v>
      </c>
      <c r="P35" s="55">
        <f t="shared" si="4"/>
        <v>0</v>
      </c>
      <c r="Q35" s="56"/>
    </row>
    <row r="36" spans="1:17" s="32" customFormat="1" ht="270" customHeight="1" hidden="1" outlineLevel="4">
      <c r="A36" s="24" t="s">
        <v>49</v>
      </c>
      <c r="B36" s="48"/>
      <c r="C36" s="49" t="s">
        <v>50</v>
      </c>
      <c r="D36" s="144" t="s">
        <v>49</v>
      </c>
      <c r="E36" s="51"/>
      <c r="F36" s="51"/>
      <c r="G36" s="52">
        <f t="shared" si="1"/>
        <v>0</v>
      </c>
      <c r="H36" s="53" t="e">
        <f t="shared" si="2"/>
        <v>#DIV/0!</v>
      </c>
      <c r="I36" s="51">
        <v>300100</v>
      </c>
      <c r="J36" s="51"/>
      <c r="K36" s="51"/>
      <c r="L36" s="51"/>
      <c r="M36" s="54" t="e">
        <f t="shared" si="3"/>
        <v>#DIV/0!</v>
      </c>
      <c r="N36" s="51"/>
      <c r="O36" s="54">
        <f t="shared" si="0"/>
        <v>0</v>
      </c>
      <c r="P36" s="55">
        <f t="shared" si="4"/>
        <v>0</v>
      </c>
      <c r="Q36" s="56"/>
    </row>
    <row r="37" spans="1:17" s="32" customFormat="1" ht="270" customHeight="1" hidden="1" outlineLevel="5">
      <c r="A37" s="24" t="s">
        <v>49</v>
      </c>
      <c r="B37" s="48"/>
      <c r="C37" s="49" t="s">
        <v>51</v>
      </c>
      <c r="D37" s="144" t="s">
        <v>49</v>
      </c>
      <c r="E37" s="51"/>
      <c r="F37" s="51"/>
      <c r="G37" s="52">
        <f t="shared" si="1"/>
        <v>0</v>
      </c>
      <c r="H37" s="53" t="e">
        <f t="shared" si="2"/>
        <v>#DIV/0!</v>
      </c>
      <c r="I37" s="51">
        <v>300100</v>
      </c>
      <c r="J37" s="51"/>
      <c r="K37" s="51"/>
      <c r="L37" s="51"/>
      <c r="M37" s="54" t="e">
        <f t="shared" si="3"/>
        <v>#DIV/0!</v>
      </c>
      <c r="N37" s="51"/>
      <c r="O37" s="54">
        <f t="shared" si="0"/>
        <v>0</v>
      </c>
      <c r="P37" s="55">
        <f t="shared" si="4"/>
        <v>0</v>
      </c>
      <c r="Q37" s="56"/>
    </row>
    <row r="38" spans="1:17" s="32" customFormat="1" ht="409.5" customHeight="1" hidden="1" outlineLevel="5">
      <c r="A38" s="24" t="s">
        <v>52</v>
      </c>
      <c r="B38" s="48"/>
      <c r="C38" s="49" t="s">
        <v>53</v>
      </c>
      <c r="D38" s="144" t="s">
        <v>52</v>
      </c>
      <c r="E38" s="51">
        <v>8650982.19</v>
      </c>
      <c r="F38" s="51"/>
      <c r="G38" s="52">
        <f t="shared" si="1"/>
        <v>-8650982.19</v>
      </c>
      <c r="H38" s="53">
        <f t="shared" si="2"/>
        <v>0</v>
      </c>
      <c r="I38" s="51">
        <v>0</v>
      </c>
      <c r="J38" s="51"/>
      <c r="K38" s="51"/>
      <c r="L38" s="51"/>
      <c r="M38" s="54">
        <f t="shared" si="3"/>
        <v>0</v>
      </c>
      <c r="N38" s="51"/>
      <c r="O38" s="54" t="e">
        <f t="shared" si="0"/>
        <v>#DIV/0!</v>
      </c>
      <c r="P38" s="55">
        <f t="shared" si="4"/>
        <v>0</v>
      </c>
      <c r="Q38" s="56"/>
    </row>
    <row r="39" spans="1:17" s="32" customFormat="1" ht="57.75" customHeight="1" outlineLevel="2" collapsed="1">
      <c r="A39" s="24" t="s">
        <v>54</v>
      </c>
      <c r="B39" s="48" t="s">
        <v>55</v>
      </c>
      <c r="C39" s="49" t="s">
        <v>56</v>
      </c>
      <c r="D39" s="144" t="s">
        <v>54</v>
      </c>
      <c r="E39" s="51">
        <v>10254357.32</v>
      </c>
      <c r="F39" s="51">
        <v>6643262.81</v>
      </c>
      <c r="G39" s="52">
        <f t="shared" si="1"/>
        <v>-3611094.5100000007</v>
      </c>
      <c r="H39" s="53">
        <f t="shared" si="2"/>
        <v>0.6478477980324563</v>
      </c>
      <c r="I39" s="51">
        <v>9197170</v>
      </c>
      <c r="J39" s="51">
        <v>676056.9</v>
      </c>
      <c r="K39" s="51">
        <v>6843619.95</v>
      </c>
      <c r="L39" s="28">
        <f>K39-J39</f>
        <v>6167563.05</v>
      </c>
      <c r="M39" s="54">
        <f t="shared" si="3"/>
        <v>-2.5469203241650957</v>
      </c>
      <c r="N39" s="51">
        <f>K39-I39</f>
        <v>-2353550.05</v>
      </c>
      <c r="O39" s="54">
        <f t="shared" si="0"/>
        <v>0.7441006255185019</v>
      </c>
      <c r="P39" s="55">
        <f t="shared" si="4"/>
        <v>200357.1400000006</v>
      </c>
      <c r="Q39" s="149" t="s">
        <v>267</v>
      </c>
    </row>
    <row r="40" spans="1:17" s="32" customFormat="1" ht="58.5" customHeight="1" outlineLevel="1">
      <c r="A40" s="24" t="s">
        <v>57</v>
      </c>
      <c r="B40" s="48" t="s">
        <v>58</v>
      </c>
      <c r="C40" s="49" t="s">
        <v>59</v>
      </c>
      <c r="D40" s="144" t="s">
        <v>57</v>
      </c>
      <c r="E40" s="58">
        <f>E41+E42+E52+E56</f>
        <v>45903932.26</v>
      </c>
      <c r="F40" s="51">
        <f>F41+F42+F52+F56</f>
        <v>30175113.57</v>
      </c>
      <c r="G40" s="52">
        <f t="shared" si="1"/>
        <v>-15728818.689999998</v>
      </c>
      <c r="H40" s="53">
        <f t="shared" si="2"/>
        <v>0.657353566119087</v>
      </c>
      <c r="I40" s="51">
        <f>I41+I42+I52+I56</f>
        <v>44278800</v>
      </c>
      <c r="J40" s="51">
        <f>J41+J42+J52+J56</f>
        <v>1291804</v>
      </c>
      <c r="K40" s="51">
        <f>K41+K42+K52+K56</f>
        <v>32744851.389999997</v>
      </c>
      <c r="L40" s="28">
        <f>K40-J40</f>
        <v>31453047.389999997</v>
      </c>
      <c r="M40" s="54">
        <f t="shared" si="3"/>
        <v>-2.815138305850737</v>
      </c>
      <c r="N40" s="51">
        <f>N41+N42+N52+N56</f>
        <v>-11533948.61</v>
      </c>
      <c r="O40" s="54">
        <f t="shared" si="0"/>
        <v>0.7395153299095729</v>
      </c>
      <c r="P40" s="55">
        <f t="shared" si="4"/>
        <v>2569737.8199999966</v>
      </c>
      <c r="Q40" s="149" t="s">
        <v>267</v>
      </c>
    </row>
    <row r="41" spans="1:17" s="32" customFormat="1" ht="41.25" customHeight="1" outlineLevel="1">
      <c r="A41" s="24"/>
      <c r="B41" s="48" t="s">
        <v>60</v>
      </c>
      <c r="C41" s="59" t="s">
        <v>61</v>
      </c>
      <c r="D41" s="60" t="s">
        <v>62</v>
      </c>
      <c r="E41" s="61">
        <v>33191065.25</v>
      </c>
      <c r="F41" s="61">
        <v>23138707.03</v>
      </c>
      <c r="G41" s="62">
        <f>F41-E41</f>
        <v>-10052358.219999999</v>
      </c>
      <c r="H41" s="63"/>
      <c r="I41" s="61">
        <v>31715800</v>
      </c>
      <c r="J41" s="61">
        <v>728906</v>
      </c>
      <c r="K41" s="61">
        <v>28677635.39</v>
      </c>
      <c r="L41" s="61">
        <f>K41-J41</f>
        <v>27948729.39</v>
      </c>
      <c r="M41" s="63">
        <f t="shared" si="3"/>
        <v>-3.1550606639642815</v>
      </c>
      <c r="N41" s="61">
        <f>K41-I41</f>
        <v>-3038164.6099999994</v>
      </c>
      <c r="O41" s="63">
        <f t="shared" si="0"/>
        <v>0.9042065907213439</v>
      </c>
      <c r="P41" s="61">
        <f>K41-F41</f>
        <v>5538928.359999999</v>
      </c>
      <c r="Q41" s="57"/>
    </row>
    <row r="42" spans="1:17" ht="28.5" outlineLevel="2">
      <c r="A42" s="64" t="s">
        <v>63</v>
      </c>
      <c r="B42" s="65" t="s">
        <v>64</v>
      </c>
      <c r="C42" s="59" t="s">
        <v>65</v>
      </c>
      <c r="D42" s="60" t="s">
        <v>63</v>
      </c>
      <c r="E42" s="61">
        <v>108221.73</v>
      </c>
      <c r="F42" s="61">
        <v>70116.9</v>
      </c>
      <c r="G42" s="62">
        <f>F42-E42</f>
        <v>-38104.83</v>
      </c>
      <c r="H42" s="63">
        <f>F42/E42</f>
        <v>0.6479003800807841</v>
      </c>
      <c r="I42" s="61"/>
      <c r="J42" s="61"/>
      <c r="K42" s="61">
        <v>-202199.94</v>
      </c>
      <c r="L42" s="61">
        <f aca="true" t="shared" si="5" ref="L42:L56">K42-J42</f>
        <v>-202199.94</v>
      </c>
      <c r="M42" s="63">
        <f t="shared" si="3"/>
        <v>0</v>
      </c>
      <c r="N42" s="61">
        <f>K42-I42</f>
        <v>-202199.94</v>
      </c>
      <c r="O42" s="63"/>
      <c r="P42" s="61">
        <f>K42-F42</f>
        <v>-272316.83999999997</v>
      </c>
      <c r="Q42" s="66" t="s">
        <v>263</v>
      </c>
    </row>
    <row r="43" spans="1:17" ht="15" customHeight="1" hidden="1" outlineLevel="3">
      <c r="A43" s="64" t="s">
        <v>66</v>
      </c>
      <c r="B43" s="65"/>
      <c r="C43" s="59" t="s">
        <v>23</v>
      </c>
      <c r="D43" s="60" t="s">
        <v>66</v>
      </c>
      <c r="E43" s="61"/>
      <c r="F43" s="61"/>
      <c r="G43" s="62">
        <f aca="true" t="shared" si="6" ref="G43:G56">F43-E43</f>
        <v>0</v>
      </c>
      <c r="H43" s="63" t="e">
        <f aca="true" t="shared" si="7" ref="H43:H56">F43/E43</f>
        <v>#DIV/0!</v>
      </c>
      <c r="I43" s="61">
        <v>57591300</v>
      </c>
      <c r="J43" s="61"/>
      <c r="K43" s="61"/>
      <c r="L43" s="61">
        <f t="shared" si="5"/>
        <v>0</v>
      </c>
      <c r="M43" s="63" t="e">
        <f t="shared" si="3"/>
        <v>#DIV/0!</v>
      </c>
      <c r="N43" s="61">
        <f aca="true" t="shared" si="8" ref="N43:N56">K43-I43</f>
        <v>-57591300</v>
      </c>
      <c r="O43" s="63">
        <f t="shared" si="0"/>
        <v>0</v>
      </c>
      <c r="P43" s="61">
        <f aca="true" t="shared" si="9" ref="P43:P56">K43-F43</f>
        <v>0</v>
      </c>
      <c r="Q43" s="67"/>
    </row>
    <row r="44" spans="1:17" ht="57" customHeight="1" hidden="1" outlineLevel="4">
      <c r="A44" s="64" t="s">
        <v>67</v>
      </c>
      <c r="B44" s="65"/>
      <c r="C44" s="59" t="s">
        <v>68</v>
      </c>
      <c r="D44" s="60" t="s">
        <v>67</v>
      </c>
      <c r="E44" s="61"/>
      <c r="F44" s="61"/>
      <c r="G44" s="62">
        <f t="shared" si="6"/>
        <v>0</v>
      </c>
      <c r="H44" s="63" t="e">
        <f t="shared" si="7"/>
        <v>#DIV/0!</v>
      </c>
      <c r="I44" s="61">
        <v>57591300</v>
      </c>
      <c r="J44" s="61"/>
      <c r="K44" s="61"/>
      <c r="L44" s="61">
        <f t="shared" si="5"/>
        <v>0</v>
      </c>
      <c r="M44" s="63" t="e">
        <f t="shared" si="3"/>
        <v>#DIV/0!</v>
      </c>
      <c r="N44" s="61">
        <f t="shared" si="8"/>
        <v>-57591300</v>
      </c>
      <c r="O44" s="63">
        <f t="shared" si="0"/>
        <v>0</v>
      </c>
      <c r="P44" s="61">
        <f t="shared" si="9"/>
        <v>0</v>
      </c>
      <c r="Q44" s="67"/>
    </row>
    <row r="45" spans="1:17" ht="57" customHeight="1" hidden="1" outlineLevel="5">
      <c r="A45" s="64" t="s">
        <v>67</v>
      </c>
      <c r="B45" s="65"/>
      <c r="C45" s="59" t="s">
        <v>69</v>
      </c>
      <c r="D45" s="60" t="s">
        <v>67</v>
      </c>
      <c r="E45" s="61"/>
      <c r="F45" s="61"/>
      <c r="G45" s="62">
        <f t="shared" si="6"/>
        <v>0</v>
      </c>
      <c r="H45" s="63" t="e">
        <f t="shared" si="7"/>
        <v>#DIV/0!</v>
      </c>
      <c r="I45" s="61">
        <v>57591300</v>
      </c>
      <c r="J45" s="61"/>
      <c r="K45" s="61"/>
      <c r="L45" s="61">
        <f t="shared" si="5"/>
        <v>0</v>
      </c>
      <c r="M45" s="63" t="e">
        <f t="shared" si="3"/>
        <v>#DIV/0!</v>
      </c>
      <c r="N45" s="61">
        <f t="shared" si="8"/>
        <v>-57591300</v>
      </c>
      <c r="O45" s="63">
        <f t="shared" si="0"/>
        <v>0</v>
      </c>
      <c r="P45" s="61">
        <f t="shared" si="9"/>
        <v>0</v>
      </c>
      <c r="Q45" s="67"/>
    </row>
    <row r="46" spans="1:17" ht="57" customHeight="1" hidden="1" outlineLevel="5">
      <c r="A46" s="64" t="s">
        <v>70</v>
      </c>
      <c r="B46" s="65"/>
      <c r="C46" s="59" t="s">
        <v>69</v>
      </c>
      <c r="D46" s="60" t="s">
        <v>70</v>
      </c>
      <c r="E46" s="61"/>
      <c r="F46" s="61"/>
      <c r="G46" s="62">
        <f t="shared" si="6"/>
        <v>0</v>
      </c>
      <c r="H46" s="63" t="e">
        <f t="shared" si="7"/>
        <v>#DIV/0!</v>
      </c>
      <c r="I46" s="61">
        <v>0</v>
      </c>
      <c r="J46" s="61"/>
      <c r="K46" s="61"/>
      <c r="L46" s="61">
        <f t="shared" si="5"/>
        <v>0</v>
      </c>
      <c r="M46" s="63" t="e">
        <f t="shared" si="3"/>
        <v>#DIV/0!</v>
      </c>
      <c r="N46" s="61">
        <f t="shared" si="8"/>
        <v>0</v>
      </c>
      <c r="O46" s="63" t="e">
        <f t="shared" si="0"/>
        <v>#DIV/0!</v>
      </c>
      <c r="P46" s="61">
        <f t="shared" si="9"/>
        <v>0</v>
      </c>
      <c r="Q46" s="67"/>
    </row>
    <row r="47" spans="1:17" ht="57" customHeight="1" hidden="1" outlineLevel="5">
      <c r="A47" s="64" t="s">
        <v>71</v>
      </c>
      <c r="B47" s="65"/>
      <c r="C47" s="59" t="s">
        <v>69</v>
      </c>
      <c r="D47" s="60" t="s">
        <v>71</v>
      </c>
      <c r="E47" s="61"/>
      <c r="F47" s="61"/>
      <c r="G47" s="62">
        <f t="shared" si="6"/>
        <v>0</v>
      </c>
      <c r="H47" s="63" t="e">
        <f t="shared" si="7"/>
        <v>#DIV/0!</v>
      </c>
      <c r="I47" s="61">
        <v>0</v>
      </c>
      <c r="J47" s="61"/>
      <c r="K47" s="61"/>
      <c r="L47" s="61">
        <f t="shared" si="5"/>
        <v>0</v>
      </c>
      <c r="M47" s="63" t="e">
        <f t="shared" si="3"/>
        <v>#DIV/0!</v>
      </c>
      <c r="N47" s="61">
        <f t="shared" si="8"/>
        <v>0</v>
      </c>
      <c r="O47" s="63" t="e">
        <f t="shared" si="0"/>
        <v>#DIV/0!</v>
      </c>
      <c r="P47" s="61">
        <f t="shared" si="9"/>
        <v>0</v>
      </c>
      <c r="Q47" s="67"/>
    </row>
    <row r="48" spans="1:17" ht="57" customHeight="1" hidden="1" outlineLevel="5">
      <c r="A48" s="64" t="s">
        <v>72</v>
      </c>
      <c r="B48" s="65"/>
      <c r="C48" s="59" t="s">
        <v>69</v>
      </c>
      <c r="D48" s="60" t="s">
        <v>72</v>
      </c>
      <c r="E48" s="61"/>
      <c r="F48" s="61"/>
      <c r="G48" s="62">
        <f t="shared" si="6"/>
        <v>0</v>
      </c>
      <c r="H48" s="63" t="e">
        <f t="shared" si="7"/>
        <v>#DIV/0!</v>
      </c>
      <c r="I48" s="61">
        <v>0</v>
      </c>
      <c r="J48" s="61"/>
      <c r="K48" s="61"/>
      <c r="L48" s="61">
        <f t="shared" si="5"/>
        <v>0</v>
      </c>
      <c r="M48" s="63" t="e">
        <f t="shared" si="3"/>
        <v>#DIV/0!</v>
      </c>
      <c r="N48" s="61">
        <f t="shared" si="8"/>
        <v>0</v>
      </c>
      <c r="O48" s="63" t="e">
        <f t="shared" si="0"/>
        <v>#DIV/0!</v>
      </c>
      <c r="P48" s="61">
        <f t="shared" si="9"/>
        <v>0</v>
      </c>
      <c r="Q48" s="67"/>
    </row>
    <row r="49" spans="1:17" ht="15" customHeight="1" hidden="1" outlineLevel="3">
      <c r="A49" s="64" t="s">
        <v>73</v>
      </c>
      <c r="B49" s="65"/>
      <c r="C49" s="59" t="s">
        <v>23</v>
      </c>
      <c r="D49" s="60" t="s">
        <v>73</v>
      </c>
      <c r="E49" s="61"/>
      <c r="F49" s="61"/>
      <c r="G49" s="62">
        <f t="shared" si="6"/>
        <v>0</v>
      </c>
      <c r="H49" s="63" t="e">
        <f t="shared" si="7"/>
        <v>#DIV/0!</v>
      </c>
      <c r="I49" s="61">
        <v>0</v>
      </c>
      <c r="J49" s="61"/>
      <c r="K49" s="61"/>
      <c r="L49" s="61">
        <f t="shared" si="5"/>
        <v>0</v>
      </c>
      <c r="M49" s="63" t="e">
        <f t="shared" si="3"/>
        <v>#DIV/0!</v>
      </c>
      <c r="N49" s="61">
        <f t="shared" si="8"/>
        <v>0</v>
      </c>
      <c r="O49" s="63" t="e">
        <f t="shared" si="0"/>
        <v>#DIV/0!</v>
      </c>
      <c r="P49" s="61">
        <f t="shared" si="9"/>
        <v>0</v>
      </c>
      <c r="Q49" s="67"/>
    </row>
    <row r="50" spans="1:17" ht="99.75" customHeight="1" hidden="1" outlineLevel="4">
      <c r="A50" s="64" t="s">
        <v>74</v>
      </c>
      <c r="B50" s="65"/>
      <c r="C50" s="59" t="s">
        <v>75</v>
      </c>
      <c r="D50" s="60" t="s">
        <v>74</v>
      </c>
      <c r="E50" s="61"/>
      <c r="F50" s="61"/>
      <c r="G50" s="62">
        <f t="shared" si="6"/>
        <v>0</v>
      </c>
      <c r="H50" s="63" t="e">
        <f t="shared" si="7"/>
        <v>#DIV/0!</v>
      </c>
      <c r="I50" s="61">
        <v>0</v>
      </c>
      <c r="J50" s="61"/>
      <c r="K50" s="61"/>
      <c r="L50" s="61">
        <f t="shared" si="5"/>
        <v>0</v>
      </c>
      <c r="M50" s="63" t="e">
        <f t="shared" si="3"/>
        <v>#DIV/0!</v>
      </c>
      <c r="N50" s="61">
        <f t="shared" si="8"/>
        <v>0</v>
      </c>
      <c r="O50" s="63" t="e">
        <f t="shared" si="0"/>
        <v>#DIV/0!</v>
      </c>
      <c r="P50" s="61">
        <f t="shared" si="9"/>
        <v>0</v>
      </c>
      <c r="Q50" s="67"/>
    </row>
    <row r="51" spans="1:17" ht="99.75" customHeight="1" hidden="1" outlineLevel="5">
      <c r="A51" s="64" t="s">
        <v>76</v>
      </c>
      <c r="B51" s="65"/>
      <c r="C51" s="59" t="s">
        <v>77</v>
      </c>
      <c r="D51" s="60" t="s">
        <v>76</v>
      </c>
      <c r="E51" s="61"/>
      <c r="F51" s="61"/>
      <c r="G51" s="62">
        <f t="shared" si="6"/>
        <v>0</v>
      </c>
      <c r="H51" s="63" t="e">
        <f t="shared" si="7"/>
        <v>#DIV/0!</v>
      </c>
      <c r="I51" s="61">
        <v>0</v>
      </c>
      <c r="J51" s="61"/>
      <c r="K51" s="61"/>
      <c r="L51" s="61">
        <f t="shared" si="5"/>
        <v>0</v>
      </c>
      <c r="M51" s="63" t="e">
        <f t="shared" si="3"/>
        <v>#DIV/0!</v>
      </c>
      <c r="N51" s="61">
        <f t="shared" si="8"/>
        <v>0</v>
      </c>
      <c r="O51" s="63" t="e">
        <f t="shared" si="0"/>
        <v>#DIV/0!</v>
      </c>
      <c r="P51" s="61">
        <f t="shared" si="9"/>
        <v>0</v>
      </c>
      <c r="Q51" s="67"/>
    </row>
    <row r="52" spans="1:17" ht="18.75" customHeight="1" outlineLevel="2" collapsed="1">
      <c r="A52" s="64" t="s">
        <v>78</v>
      </c>
      <c r="B52" s="65" t="s">
        <v>79</v>
      </c>
      <c r="C52" s="59" t="s">
        <v>80</v>
      </c>
      <c r="D52" s="60" t="s">
        <v>78</v>
      </c>
      <c r="E52" s="62">
        <v>63052.38</v>
      </c>
      <c r="F52" s="62">
        <v>63051.56</v>
      </c>
      <c r="G52" s="62">
        <f t="shared" si="6"/>
        <v>-0.819999999999709</v>
      </c>
      <c r="H52" s="63">
        <f t="shared" si="7"/>
        <v>0.9999869949397628</v>
      </c>
      <c r="I52" s="61">
        <v>63000</v>
      </c>
      <c r="J52" s="61"/>
      <c r="K52" s="62">
        <v>296614.88</v>
      </c>
      <c r="L52" s="61">
        <f t="shared" si="5"/>
        <v>296614.88</v>
      </c>
      <c r="M52" s="63">
        <f t="shared" si="3"/>
        <v>-76829.2682927102</v>
      </c>
      <c r="N52" s="61">
        <f t="shared" si="8"/>
        <v>233614.88</v>
      </c>
      <c r="O52" s="63">
        <f t="shared" si="0"/>
        <v>4.708172698412699</v>
      </c>
      <c r="P52" s="61">
        <f t="shared" si="9"/>
        <v>233563.32</v>
      </c>
      <c r="Q52" s="67"/>
    </row>
    <row r="53" spans="1:17" ht="15" customHeight="1" hidden="1" outlineLevel="3">
      <c r="A53" s="64" t="s">
        <v>81</v>
      </c>
      <c r="B53" s="65"/>
      <c r="C53" s="59" t="s">
        <v>23</v>
      </c>
      <c r="D53" s="60" t="s">
        <v>81</v>
      </c>
      <c r="E53" s="61"/>
      <c r="F53" s="61"/>
      <c r="G53" s="62">
        <f t="shared" si="6"/>
        <v>0</v>
      </c>
      <c r="H53" s="63" t="e">
        <f t="shared" si="7"/>
        <v>#DIV/0!</v>
      </c>
      <c r="I53" s="61"/>
      <c r="J53" s="61"/>
      <c r="K53" s="61"/>
      <c r="L53" s="61">
        <f t="shared" si="5"/>
        <v>0</v>
      </c>
      <c r="M53" s="63" t="e">
        <f t="shared" si="3"/>
        <v>#DIV/0!</v>
      </c>
      <c r="N53" s="61">
        <f t="shared" si="8"/>
        <v>0</v>
      </c>
      <c r="O53" s="63" t="e">
        <f t="shared" si="0"/>
        <v>#DIV/0!</v>
      </c>
      <c r="P53" s="61">
        <f t="shared" si="9"/>
        <v>0</v>
      </c>
      <c r="Q53" s="68"/>
    </row>
    <row r="54" spans="1:17" ht="42.75" customHeight="1" hidden="1" outlineLevel="4">
      <c r="A54" s="64" t="s">
        <v>82</v>
      </c>
      <c r="B54" s="65"/>
      <c r="C54" s="59" t="s">
        <v>83</v>
      </c>
      <c r="D54" s="60" t="s">
        <v>82</v>
      </c>
      <c r="E54" s="61"/>
      <c r="F54" s="61"/>
      <c r="G54" s="62">
        <f t="shared" si="6"/>
        <v>0</v>
      </c>
      <c r="H54" s="63" t="e">
        <f t="shared" si="7"/>
        <v>#DIV/0!</v>
      </c>
      <c r="I54" s="61"/>
      <c r="J54" s="61"/>
      <c r="K54" s="61"/>
      <c r="L54" s="61">
        <f t="shared" si="5"/>
        <v>0</v>
      </c>
      <c r="M54" s="63" t="e">
        <f t="shared" si="3"/>
        <v>#DIV/0!</v>
      </c>
      <c r="N54" s="61">
        <f t="shared" si="8"/>
        <v>0</v>
      </c>
      <c r="O54" s="63" t="e">
        <f t="shared" si="0"/>
        <v>#DIV/0!</v>
      </c>
      <c r="P54" s="61">
        <f t="shared" si="9"/>
        <v>0</v>
      </c>
      <c r="Q54" s="68"/>
    </row>
    <row r="55" spans="1:17" ht="42.75" customHeight="1" hidden="1" outlineLevel="5">
      <c r="A55" s="64" t="s">
        <v>82</v>
      </c>
      <c r="B55" s="65"/>
      <c r="C55" s="59" t="s">
        <v>84</v>
      </c>
      <c r="D55" s="60" t="s">
        <v>82</v>
      </c>
      <c r="E55" s="61"/>
      <c r="F55" s="61"/>
      <c r="G55" s="62">
        <f t="shared" si="6"/>
        <v>0</v>
      </c>
      <c r="H55" s="63" t="e">
        <f t="shared" si="7"/>
        <v>#DIV/0!</v>
      </c>
      <c r="I55" s="61"/>
      <c r="J55" s="61"/>
      <c r="K55" s="61"/>
      <c r="L55" s="61">
        <f t="shared" si="5"/>
        <v>0</v>
      </c>
      <c r="M55" s="63" t="e">
        <f t="shared" si="3"/>
        <v>#DIV/0!</v>
      </c>
      <c r="N55" s="61">
        <f t="shared" si="8"/>
        <v>0</v>
      </c>
      <c r="O55" s="63" t="e">
        <f t="shared" si="0"/>
        <v>#DIV/0!</v>
      </c>
      <c r="P55" s="61">
        <f t="shared" si="9"/>
        <v>0</v>
      </c>
      <c r="Q55" s="68"/>
    </row>
    <row r="56" spans="1:17" ht="30" customHeight="1" outlineLevel="2" collapsed="1">
      <c r="A56" s="64" t="s">
        <v>85</v>
      </c>
      <c r="B56" s="65" t="s">
        <v>86</v>
      </c>
      <c r="C56" s="59" t="s">
        <v>87</v>
      </c>
      <c r="D56" s="60" t="s">
        <v>85</v>
      </c>
      <c r="E56" s="61">
        <v>12541592.9</v>
      </c>
      <c r="F56" s="61">
        <v>6903238.08</v>
      </c>
      <c r="G56" s="62">
        <f t="shared" si="6"/>
        <v>-5638354.82</v>
      </c>
      <c r="H56" s="63">
        <f t="shared" si="7"/>
        <v>0.5504275362023591</v>
      </c>
      <c r="I56" s="61">
        <v>12500000</v>
      </c>
      <c r="J56" s="61">
        <v>562898</v>
      </c>
      <c r="K56" s="61">
        <v>3972801.06</v>
      </c>
      <c r="L56" s="61">
        <f t="shared" si="5"/>
        <v>3409903.06</v>
      </c>
      <c r="M56" s="63">
        <f t="shared" si="3"/>
        <v>-2.2169587404575575</v>
      </c>
      <c r="N56" s="61">
        <f t="shared" si="8"/>
        <v>-8527198.94</v>
      </c>
      <c r="O56" s="63">
        <f t="shared" si="0"/>
        <v>0.3178240848</v>
      </c>
      <c r="P56" s="61">
        <f t="shared" si="9"/>
        <v>-2930437.02</v>
      </c>
      <c r="Q56" s="66"/>
    </row>
    <row r="57" spans="1:17" ht="15" customHeight="1" hidden="1" outlineLevel="3">
      <c r="A57" s="64" t="s">
        <v>88</v>
      </c>
      <c r="B57" s="65"/>
      <c r="C57" s="59" t="s">
        <v>23</v>
      </c>
      <c r="D57" s="60" t="s">
        <v>88</v>
      </c>
      <c r="E57" s="61">
        <v>401120</v>
      </c>
      <c r="F57" s="61">
        <v>401120</v>
      </c>
      <c r="G57" s="62"/>
      <c r="H57" s="63" t="e">
        <f>E57/#REF!</f>
        <v>#REF!</v>
      </c>
      <c r="I57" s="61">
        <v>8300000</v>
      </c>
      <c r="J57" s="61"/>
      <c r="K57" s="61">
        <v>401120</v>
      </c>
      <c r="L57" s="61"/>
      <c r="M57" s="63" t="e">
        <f t="shared" si="3"/>
        <v>#DIV/0!</v>
      </c>
      <c r="N57" s="61"/>
      <c r="O57" s="63">
        <f t="shared" si="0"/>
        <v>0.04832771084337349</v>
      </c>
      <c r="P57" s="61" t="e">
        <f>E57-#REF!</f>
        <v>#REF!</v>
      </c>
      <c r="Q57" s="68"/>
    </row>
    <row r="58" spans="1:17" ht="85.5" customHeight="1" hidden="1" outlineLevel="4">
      <c r="A58" s="64" t="s">
        <v>89</v>
      </c>
      <c r="B58" s="65"/>
      <c r="C58" s="59" t="s">
        <v>90</v>
      </c>
      <c r="D58" s="60" t="s">
        <v>89</v>
      </c>
      <c r="E58" s="61">
        <v>0</v>
      </c>
      <c r="F58" s="61">
        <v>401120</v>
      </c>
      <c r="G58" s="62"/>
      <c r="H58" s="63" t="e">
        <f>E58/#REF!</f>
        <v>#REF!</v>
      </c>
      <c r="I58" s="61">
        <v>8300000</v>
      </c>
      <c r="J58" s="61"/>
      <c r="K58" s="61">
        <v>401120</v>
      </c>
      <c r="L58" s="61"/>
      <c r="M58" s="63" t="e">
        <f t="shared" si="3"/>
        <v>#DIV/0!</v>
      </c>
      <c r="N58" s="61"/>
      <c r="O58" s="63">
        <f t="shared" si="0"/>
        <v>0.04832771084337349</v>
      </c>
      <c r="P58" s="61" t="e">
        <f>E58-#REF!</f>
        <v>#REF!</v>
      </c>
      <c r="Q58" s="68"/>
    </row>
    <row r="59" spans="1:17" ht="99.75" customHeight="1" hidden="1" outlineLevel="5">
      <c r="A59" s="64" t="s">
        <v>89</v>
      </c>
      <c r="B59" s="65"/>
      <c r="C59" s="59" t="s">
        <v>91</v>
      </c>
      <c r="D59" s="60" t="s">
        <v>89</v>
      </c>
      <c r="E59" s="61">
        <v>401106.8</v>
      </c>
      <c r="F59" s="61">
        <v>0</v>
      </c>
      <c r="G59" s="62"/>
      <c r="H59" s="63" t="e">
        <f>E59/#REF!</f>
        <v>#REF!</v>
      </c>
      <c r="I59" s="61">
        <v>8300000</v>
      </c>
      <c r="J59" s="61"/>
      <c r="K59" s="61">
        <v>0</v>
      </c>
      <c r="L59" s="61"/>
      <c r="M59" s="63" t="e">
        <f t="shared" si="3"/>
        <v>#DIV/0!</v>
      </c>
      <c r="N59" s="61"/>
      <c r="O59" s="63">
        <f t="shared" si="0"/>
        <v>0</v>
      </c>
      <c r="P59" s="61" t="e">
        <f>E59-#REF!</f>
        <v>#REF!</v>
      </c>
      <c r="Q59" s="68"/>
    </row>
    <row r="60" spans="1:17" ht="99.75" customHeight="1" hidden="1" outlineLevel="5">
      <c r="A60" s="64" t="s">
        <v>92</v>
      </c>
      <c r="B60" s="65"/>
      <c r="C60" s="59" t="s">
        <v>91</v>
      </c>
      <c r="D60" s="60" t="s">
        <v>92</v>
      </c>
      <c r="E60" s="61">
        <v>13.2</v>
      </c>
      <c r="F60" s="61">
        <v>401106.8</v>
      </c>
      <c r="G60" s="62"/>
      <c r="H60" s="63" t="e">
        <f>E60/#REF!</f>
        <v>#REF!</v>
      </c>
      <c r="I60" s="61">
        <v>0</v>
      </c>
      <c r="J60" s="61"/>
      <c r="K60" s="61">
        <v>401106.8</v>
      </c>
      <c r="L60" s="61"/>
      <c r="M60" s="63" t="e">
        <f t="shared" si="3"/>
        <v>#DIV/0!</v>
      </c>
      <c r="N60" s="61"/>
      <c r="O60" s="63" t="e">
        <f t="shared" si="0"/>
        <v>#DIV/0!</v>
      </c>
      <c r="P60" s="61" t="e">
        <f>E60-#REF!</f>
        <v>#REF!</v>
      </c>
      <c r="Q60" s="68"/>
    </row>
    <row r="61" spans="1:17" ht="99.75" customHeight="1" hidden="1" outlineLevel="5">
      <c r="A61" s="64" t="s">
        <v>93</v>
      </c>
      <c r="B61" s="65"/>
      <c r="C61" s="59" t="s">
        <v>91</v>
      </c>
      <c r="D61" s="60" t="s">
        <v>93</v>
      </c>
      <c r="E61" s="51">
        <f>E62+E63+E64</f>
        <v>172244710.82</v>
      </c>
      <c r="F61" s="61">
        <v>13.2</v>
      </c>
      <c r="G61" s="62"/>
      <c r="H61" s="63" t="e">
        <f>E61/#REF!</f>
        <v>#REF!</v>
      </c>
      <c r="I61" s="61">
        <v>0</v>
      </c>
      <c r="J61" s="61"/>
      <c r="K61" s="61">
        <v>13.2</v>
      </c>
      <c r="L61" s="61"/>
      <c r="M61" s="63" t="e">
        <f t="shared" si="3"/>
        <v>#DIV/0!</v>
      </c>
      <c r="N61" s="61"/>
      <c r="O61" s="63" t="e">
        <f t="shared" si="0"/>
        <v>#DIV/0!</v>
      </c>
      <c r="P61" s="61" t="e">
        <f>E61-#REF!</f>
        <v>#REF!</v>
      </c>
      <c r="Q61" s="68"/>
    </row>
    <row r="62" spans="1:17" s="32" customFormat="1" ht="22.5" customHeight="1" outlineLevel="1" collapsed="1">
      <c r="A62" s="24" t="s">
        <v>94</v>
      </c>
      <c r="B62" s="48" t="s">
        <v>95</v>
      </c>
      <c r="C62" s="49" t="s">
        <v>96</v>
      </c>
      <c r="D62" s="50" t="s">
        <v>94</v>
      </c>
      <c r="E62" s="51">
        <f>E63+E64+E65</f>
        <v>95317580.9</v>
      </c>
      <c r="F62" s="51">
        <f>F63+F64+F65</f>
        <v>48389641.39999999</v>
      </c>
      <c r="G62" s="58">
        <f>F62-E62</f>
        <v>-46927939.500000015</v>
      </c>
      <c r="H62" s="54">
        <f aca="true" t="shared" si="10" ref="H62:H72">F62/E62</f>
        <v>0.5076675356539603</v>
      </c>
      <c r="I62" s="51">
        <f>I63+I64+I65</f>
        <v>65255457.63</v>
      </c>
      <c r="J62" s="51">
        <f>J63+J64+J65</f>
        <v>3543302</v>
      </c>
      <c r="K62" s="51">
        <f>K63+K64+K65</f>
        <v>33684297.02</v>
      </c>
      <c r="L62" s="51">
        <f>K62-J62</f>
        <v>30140995.020000003</v>
      </c>
      <c r="M62" s="54">
        <f t="shared" si="3"/>
        <v>-1.3905459801830844</v>
      </c>
      <c r="N62" s="51">
        <f>N63+N64+N65</f>
        <v>-31571160.61</v>
      </c>
      <c r="O62" s="54">
        <f t="shared" si="0"/>
        <v>0.5161912619016599</v>
      </c>
      <c r="P62" s="51">
        <f aca="true" t="shared" si="11" ref="P62:P72">K62-F62</f>
        <v>-14705344.379999988</v>
      </c>
      <c r="Q62" s="149" t="s">
        <v>267</v>
      </c>
    </row>
    <row r="63" spans="1:17" ht="28.5" outlineLevel="2">
      <c r="A63" s="64" t="s">
        <v>97</v>
      </c>
      <c r="B63" s="65" t="s">
        <v>98</v>
      </c>
      <c r="C63" s="59" t="s">
        <v>99</v>
      </c>
      <c r="D63" s="60" t="s">
        <v>97</v>
      </c>
      <c r="E63" s="61">
        <v>14947482.35</v>
      </c>
      <c r="F63" s="61">
        <v>1816762.76</v>
      </c>
      <c r="G63" s="62">
        <f>F63-E63</f>
        <v>-13130719.59</v>
      </c>
      <c r="H63" s="63">
        <f t="shared" si="10"/>
        <v>0.12154306106272138</v>
      </c>
      <c r="I63" s="61">
        <v>11900000</v>
      </c>
      <c r="J63" s="61">
        <v>80000</v>
      </c>
      <c r="K63" s="61">
        <v>2538493.36</v>
      </c>
      <c r="L63" s="61">
        <f>K63-J63</f>
        <v>2458493.36</v>
      </c>
      <c r="M63" s="63">
        <f t="shared" si="3"/>
        <v>-0.9062717331244144</v>
      </c>
      <c r="N63" s="61">
        <f>K63-I63</f>
        <v>-9361506.64</v>
      </c>
      <c r="O63" s="63">
        <f t="shared" si="0"/>
        <v>0.21331876974789915</v>
      </c>
      <c r="P63" s="61">
        <f t="shared" si="11"/>
        <v>721730.5999999999</v>
      </c>
      <c r="Q63" s="66"/>
    </row>
    <row r="64" spans="1:17" ht="145.5" customHeight="1" outlineLevel="4">
      <c r="A64" s="64" t="s">
        <v>100</v>
      </c>
      <c r="B64" s="65" t="s">
        <v>101</v>
      </c>
      <c r="C64" s="59" t="s">
        <v>102</v>
      </c>
      <c r="D64" s="60" t="s">
        <v>100</v>
      </c>
      <c r="E64" s="61">
        <v>61979647.57</v>
      </c>
      <c r="F64" s="61">
        <v>44753927.48</v>
      </c>
      <c r="G64" s="62">
        <f>F64-E64</f>
        <v>-17225720.090000004</v>
      </c>
      <c r="H64" s="63">
        <f t="shared" si="10"/>
        <v>0.7220745718093149</v>
      </c>
      <c r="I64" s="61">
        <v>36355457.63</v>
      </c>
      <c r="J64" s="61">
        <v>3011857</v>
      </c>
      <c r="K64" s="61">
        <v>28449194.85</v>
      </c>
      <c r="L64" s="61">
        <f>K64-J64</f>
        <v>25437337.85</v>
      </c>
      <c r="M64" s="63">
        <f t="shared" si="3"/>
        <v>-2.110533402380393</v>
      </c>
      <c r="N64" s="61">
        <f>K64-I64</f>
        <v>-7906262.780000001</v>
      </c>
      <c r="O64" s="63">
        <f t="shared" si="0"/>
        <v>0.7825288609907123</v>
      </c>
      <c r="P64" s="61">
        <f>K64-F64</f>
        <v>-16304732.629999995</v>
      </c>
      <c r="Q64" s="66" t="s">
        <v>296</v>
      </c>
    </row>
    <row r="65" spans="1:17" ht="56.25" customHeight="1" outlineLevel="4">
      <c r="A65" s="64" t="s">
        <v>103</v>
      </c>
      <c r="B65" s="65" t="s">
        <v>104</v>
      </c>
      <c r="C65" s="59" t="s">
        <v>105</v>
      </c>
      <c r="D65" s="60" t="s">
        <v>103</v>
      </c>
      <c r="E65" s="61">
        <v>18390450.98</v>
      </c>
      <c r="F65" s="61">
        <v>1818951.16</v>
      </c>
      <c r="G65" s="62">
        <f>F65-E65</f>
        <v>-16571499.82</v>
      </c>
      <c r="H65" s="63">
        <f t="shared" si="10"/>
        <v>0.09890737111222271</v>
      </c>
      <c r="I65" s="61">
        <v>17000000</v>
      </c>
      <c r="J65" s="61">
        <v>451445</v>
      </c>
      <c r="K65" s="61">
        <v>2696608.81</v>
      </c>
      <c r="L65" s="61">
        <f>K65-J65</f>
        <v>2245163.81</v>
      </c>
      <c r="M65" s="63">
        <f t="shared" si="3"/>
        <v>-1.0258576583082026</v>
      </c>
      <c r="N65" s="61">
        <f>K65-I65</f>
        <v>-14303391.19</v>
      </c>
      <c r="O65" s="63">
        <f t="shared" si="0"/>
        <v>0.1586240476470588</v>
      </c>
      <c r="P65" s="61">
        <f t="shared" si="11"/>
        <v>877657.6500000001</v>
      </c>
      <c r="Q65" s="66"/>
    </row>
    <row r="66" spans="1:17" s="32" customFormat="1" ht="32.25" customHeight="1" outlineLevel="1">
      <c r="A66" s="24" t="s">
        <v>106</v>
      </c>
      <c r="B66" s="48" t="s">
        <v>107</v>
      </c>
      <c r="C66" s="49" t="s">
        <v>108</v>
      </c>
      <c r="D66" s="50" t="s">
        <v>106</v>
      </c>
      <c r="E66" s="51">
        <f>E67+E72</f>
        <v>10536108.33</v>
      </c>
      <c r="F66" s="51">
        <f>F67+F72</f>
        <v>6885333</v>
      </c>
      <c r="G66" s="58">
        <f>G67+G72</f>
        <v>-3650775.33</v>
      </c>
      <c r="H66" s="54">
        <f t="shared" si="10"/>
        <v>0.6534986908206932</v>
      </c>
      <c r="I66" s="51">
        <f>I67+I72</f>
        <v>11535000</v>
      </c>
      <c r="J66" s="51">
        <f>J67+J72</f>
        <v>605206</v>
      </c>
      <c r="K66" s="51">
        <f>K67+K72</f>
        <v>7238272.78</v>
      </c>
      <c r="L66" s="51">
        <f>K66-J66</f>
        <v>6633066.78</v>
      </c>
      <c r="M66" s="54">
        <f t="shared" si="3"/>
        <v>-3.1596028123702697</v>
      </c>
      <c r="N66" s="51">
        <f>N67+N72</f>
        <v>-4296727.22</v>
      </c>
      <c r="O66" s="54">
        <f t="shared" si="0"/>
        <v>0.627505225834417</v>
      </c>
      <c r="P66" s="51">
        <f t="shared" si="11"/>
        <v>352939.78000000026</v>
      </c>
      <c r="Q66" s="56"/>
    </row>
    <row r="67" spans="1:17" ht="91.5" customHeight="1" outlineLevel="2">
      <c r="A67" s="64" t="s">
        <v>109</v>
      </c>
      <c r="B67" s="65" t="s">
        <v>110</v>
      </c>
      <c r="C67" s="59" t="s">
        <v>111</v>
      </c>
      <c r="D67" s="60" t="s">
        <v>109</v>
      </c>
      <c r="E67" s="61">
        <v>10431108.33</v>
      </c>
      <c r="F67" s="61">
        <v>6785333</v>
      </c>
      <c r="G67" s="62">
        <f aca="true" t="shared" si="12" ref="G67:G72">F67-E67</f>
        <v>-3645775.33</v>
      </c>
      <c r="H67" s="63">
        <f t="shared" si="10"/>
        <v>0.6504901286937358</v>
      </c>
      <c r="I67" s="61">
        <v>11500000</v>
      </c>
      <c r="J67" s="61">
        <v>605206</v>
      </c>
      <c r="K67" s="61">
        <f>7153392.7+29880.08</f>
        <v>7183272.78</v>
      </c>
      <c r="L67" s="61">
        <f>K67-J67</f>
        <v>6578066.78</v>
      </c>
      <c r="M67" s="63">
        <f t="shared" si="3"/>
        <v>-3.154335898147624</v>
      </c>
      <c r="N67" s="61">
        <f aca="true" t="shared" si="13" ref="N67:N72">K67-I67</f>
        <v>-4316727.22</v>
      </c>
      <c r="O67" s="63">
        <f t="shared" si="0"/>
        <v>0.624632415652174</v>
      </c>
      <c r="P67" s="61">
        <f t="shared" si="11"/>
        <v>397939.78000000026</v>
      </c>
      <c r="Q67" s="67"/>
    </row>
    <row r="68" spans="1:17" ht="15" customHeight="1" hidden="1" outlineLevel="3">
      <c r="A68" s="64" t="s">
        <v>112</v>
      </c>
      <c r="B68" s="65"/>
      <c r="C68" s="59" t="s">
        <v>23</v>
      </c>
      <c r="D68" s="60" t="s">
        <v>112</v>
      </c>
      <c r="E68" s="61"/>
      <c r="F68" s="61"/>
      <c r="G68" s="62">
        <f t="shared" si="12"/>
        <v>0</v>
      </c>
      <c r="H68" s="63" t="e">
        <f t="shared" si="10"/>
        <v>#DIV/0!</v>
      </c>
      <c r="I68" s="61"/>
      <c r="J68" s="61"/>
      <c r="K68" s="61"/>
      <c r="L68" s="61">
        <f>I68-G68</f>
        <v>0</v>
      </c>
      <c r="M68" s="63" t="e">
        <f t="shared" si="3"/>
        <v>#DIV/0!</v>
      </c>
      <c r="N68" s="61">
        <f t="shared" si="13"/>
        <v>0</v>
      </c>
      <c r="O68" s="63" t="e">
        <f t="shared" si="0"/>
        <v>#DIV/0!</v>
      </c>
      <c r="P68" s="61">
        <f t="shared" si="11"/>
        <v>0</v>
      </c>
      <c r="Q68" s="68"/>
    </row>
    <row r="69" spans="1:17" ht="114" customHeight="1" hidden="1" outlineLevel="4">
      <c r="A69" s="64" t="s">
        <v>113</v>
      </c>
      <c r="B69" s="65"/>
      <c r="C69" s="59" t="s">
        <v>114</v>
      </c>
      <c r="D69" s="60" t="s">
        <v>113</v>
      </c>
      <c r="E69" s="61"/>
      <c r="F69" s="61"/>
      <c r="G69" s="62">
        <f t="shared" si="12"/>
        <v>0</v>
      </c>
      <c r="H69" s="63" t="e">
        <f t="shared" si="10"/>
        <v>#DIV/0!</v>
      </c>
      <c r="I69" s="61"/>
      <c r="J69" s="61"/>
      <c r="K69" s="61"/>
      <c r="L69" s="61">
        <f>I69-G69</f>
        <v>0</v>
      </c>
      <c r="M69" s="63" t="e">
        <f t="shared" si="3"/>
        <v>#DIV/0!</v>
      </c>
      <c r="N69" s="61">
        <f t="shared" si="13"/>
        <v>0</v>
      </c>
      <c r="O69" s="63" t="e">
        <f t="shared" si="0"/>
        <v>#DIV/0!</v>
      </c>
      <c r="P69" s="61">
        <f t="shared" si="11"/>
        <v>0</v>
      </c>
      <c r="Q69" s="68"/>
    </row>
    <row r="70" spans="1:17" ht="128.25" customHeight="1" hidden="1" outlineLevel="5">
      <c r="A70" s="64" t="s">
        <v>113</v>
      </c>
      <c r="B70" s="65"/>
      <c r="C70" s="59" t="s">
        <v>115</v>
      </c>
      <c r="D70" s="60" t="s">
        <v>113</v>
      </c>
      <c r="E70" s="61"/>
      <c r="F70" s="61"/>
      <c r="G70" s="62">
        <f t="shared" si="12"/>
        <v>0</v>
      </c>
      <c r="H70" s="63" t="e">
        <f t="shared" si="10"/>
        <v>#DIV/0!</v>
      </c>
      <c r="I70" s="61"/>
      <c r="J70" s="61"/>
      <c r="K70" s="61"/>
      <c r="L70" s="61">
        <f>I70-G70</f>
        <v>0</v>
      </c>
      <c r="M70" s="63" t="e">
        <f t="shared" si="3"/>
        <v>#DIV/0!</v>
      </c>
      <c r="N70" s="61">
        <f t="shared" si="13"/>
        <v>0</v>
      </c>
      <c r="O70" s="63" t="e">
        <f t="shared" si="0"/>
        <v>#DIV/0!</v>
      </c>
      <c r="P70" s="61">
        <f t="shared" si="11"/>
        <v>0</v>
      </c>
      <c r="Q70" s="68"/>
    </row>
    <row r="71" spans="1:17" ht="171" customHeight="1" hidden="1" outlineLevel="5">
      <c r="A71" s="64" t="s">
        <v>116</v>
      </c>
      <c r="B71" s="65"/>
      <c r="C71" s="59" t="s">
        <v>117</v>
      </c>
      <c r="D71" s="60" t="s">
        <v>116</v>
      </c>
      <c r="E71" s="61"/>
      <c r="F71" s="61"/>
      <c r="G71" s="62">
        <f t="shared" si="12"/>
        <v>0</v>
      </c>
      <c r="H71" s="63" t="e">
        <f t="shared" si="10"/>
        <v>#DIV/0!</v>
      </c>
      <c r="I71" s="61"/>
      <c r="J71" s="61"/>
      <c r="K71" s="61"/>
      <c r="L71" s="61">
        <f>I71-G71</f>
        <v>0</v>
      </c>
      <c r="M71" s="63" t="e">
        <f t="shared" si="3"/>
        <v>#DIV/0!</v>
      </c>
      <c r="N71" s="61">
        <f t="shared" si="13"/>
        <v>0</v>
      </c>
      <c r="O71" s="63" t="e">
        <f t="shared" si="0"/>
        <v>#DIV/0!</v>
      </c>
      <c r="P71" s="61">
        <f t="shared" si="11"/>
        <v>0</v>
      </c>
      <c r="Q71" s="68"/>
    </row>
    <row r="72" spans="1:17" ht="78.75" customHeight="1" outlineLevel="2" collapsed="1">
      <c r="A72" s="64" t="s">
        <v>118</v>
      </c>
      <c r="B72" s="65" t="s">
        <v>119</v>
      </c>
      <c r="C72" s="59" t="s">
        <v>120</v>
      </c>
      <c r="D72" s="60" t="s">
        <v>118</v>
      </c>
      <c r="E72" s="62">
        <v>105000</v>
      </c>
      <c r="F72" s="62">
        <v>100000</v>
      </c>
      <c r="G72" s="62">
        <f t="shared" si="12"/>
        <v>-5000</v>
      </c>
      <c r="H72" s="63">
        <f t="shared" si="10"/>
        <v>0.9523809523809523</v>
      </c>
      <c r="I72" s="61">
        <v>35000</v>
      </c>
      <c r="J72" s="61"/>
      <c r="K72" s="62">
        <v>55000</v>
      </c>
      <c r="L72" s="61">
        <f>K72-J72</f>
        <v>55000</v>
      </c>
      <c r="M72" s="63">
        <f t="shared" si="3"/>
        <v>-7</v>
      </c>
      <c r="N72" s="61">
        <f t="shared" si="13"/>
        <v>20000</v>
      </c>
      <c r="O72" s="63">
        <f t="shared" si="0"/>
        <v>1.5714285714285714</v>
      </c>
      <c r="P72" s="61">
        <f t="shared" si="11"/>
        <v>-45000</v>
      </c>
      <c r="Q72" s="66"/>
    </row>
    <row r="73" spans="1:17" ht="15" customHeight="1" hidden="1" outlineLevel="3">
      <c r="A73" s="64" t="s">
        <v>121</v>
      </c>
      <c r="B73" s="65"/>
      <c r="C73" s="59" t="s">
        <v>23</v>
      </c>
      <c r="D73" s="60" t="s">
        <v>121</v>
      </c>
      <c r="E73" s="61">
        <v>0</v>
      </c>
      <c r="F73" s="61">
        <v>0</v>
      </c>
      <c r="G73" s="62"/>
      <c r="H73" s="63" t="e">
        <f>E73/#REF!</f>
        <v>#REF!</v>
      </c>
      <c r="I73" s="61">
        <v>60000</v>
      </c>
      <c r="J73" s="61"/>
      <c r="K73" s="61">
        <v>0</v>
      </c>
      <c r="L73" s="61"/>
      <c r="M73" s="63" t="e">
        <f t="shared" si="3"/>
        <v>#DIV/0!</v>
      </c>
      <c r="N73" s="61"/>
      <c r="O73" s="63">
        <f t="shared" si="0"/>
        <v>0</v>
      </c>
      <c r="P73" s="61" t="e">
        <f>E73-#REF!</f>
        <v>#REF!</v>
      </c>
      <c r="Q73" s="68"/>
    </row>
    <row r="74" spans="1:17" ht="57" customHeight="1" hidden="1" outlineLevel="4">
      <c r="A74" s="64" t="s">
        <v>122</v>
      </c>
      <c r="B74" s="65"/>
      <c r="C74" s="59" t="s">
        <v>123</v>
      </c>
      <c r="D74" s="60" t="s">
        <v>122</v>
      </c>
      <c r="E74" s="61">
        <v>0</v>
      </c>
      <c r="F74" s="61">
        <v>0</v>
      </c>
      <c r="G74" s="62"/>
      <c r="H74" s="63" t="e">
        <f>E74/#REF!</f>
        <v>#REF!</v>
      </c>
      <c r="I74" s="61">
        <v>60000</v>
      </c>
      <c r="J74" s="61"/>
      <c r="K74" s="61">
        <v>0</v>
      </c>
      <c r="L74" s="61"/>
      <c r="M74" s="63" t="e">
        <f t="shared" si="3"/>
        <v>#DIV/0!</v>
      </c>
      <c r="N74" s="61"/>
      <c r="O74" s="63">
        <f t="shared" si="0"/>
        <v>0</v>
      </c>
      <c r="P74" s="61" t="e">
        <f>E74-#REF!</f>
        <v>#REF!</v>
      </c>
      <c r="Q74" s="68"/>
    </row>
    <row r="75" spans="1:17" ht="71.25" customHeight="1" hidden="1" outlineLevel="5">
      <c r="A75" s="64" t="s">
        <v>122</v>
      </c>
      <c r="B75" s="65"/>
      <c r="C75" s="59" t="s">
        <v>124</v>
      </c>
      <c r="D75" s="60" t="s">
        <v>122</v>
      </c>
      <c r="E75" s="51">
        <v>-23389.69</v>
      </c>
      <c r="F75" s="61">
        <v>0</v>
      </c>
      <c r="G75" s="62"/>
      <c r="H75" s="63" t="e">
        <f>E75/#REF!</f>
        <v>#REF!</v>
      </c>
      <c r="I75" s="61">
        <v>60000</v>
      </c>
      <c r="J75" s="61"/>
      <c r="K75" s="61">
        <v>0</v>
      </c>
      <c r="L75" s="61"/>
      <c r="M75" s="63" t="e">
        <f t="shared" si="3"/>
        <v>#DIV/0!</v>
      </c>
      <c r="N75" s="61"/>
      <c r="O75" s="63">
        <f t="shared" si="0"/>
        <v>0</v>
      </c>
      <c r="P75" s="61" t="e">
        <f>E75-#REF!</f>
        <v>#REF!</v>
      </c>
      <c r="Q75" s="68"/>
    </row>
    <row r="76" spans="1:17" s="32" customFormat="1" ht="83.25" customHeight="1" outlineLevel="1" collapsed="1">
      <c r="A76" s="24" t="s">
        <v>125</v>
      </c>
      <c r="B76" s="48" t="s">
        <v>126</v>
      </c>
      <c r="C76" s="49" t="s">
        <v>127</v>
      </c>
      <c r="D76" s="50" t="s">
        <v>125</v>
      </c>
      <c r="E76" s="51">
        <v>-23389.69</v>
      </c>
      <c r="F76" s="51">
        <v>-23389.69</v>
      </c>
      <c r="G76" s="58">
        <f>F76-E76</f>
        <v>0</v>
      </c>
      <c r="H76" s="54">
        <f>F76/E76</f>
        <v>1</v>
      </c>
      <c r="I76" s="51"/>
      <c r="J76" s="51"/>
      <c r="K76" s="51">
        <v>942.29</v>
      </c>
      <c r="L76" s="51">
        <f>K76-J76</f>
        <v>942.29</v>
      </c>
      <c r="M76" s="54"/>
      <c r="N76" s="51"/>
      <c r="O76" s="54"/>
      <c r="P76" s="51">
        <f>K76-F76</f>
        <v>24331.98</v>
      </c>
      <c r="Q76" s="56"/>
    </row>
    <row r="77" spans="1:17" s="32" customFormat="1" ht="15.75" customHeight="1" hidden="1" outlineLevel="3">
      <c r="A77" s="24" t="s">
        <v>128</v>
      </c>
      <c r="B77" s="48"/>
      <c r="C77" s="49" t="s">
        <v>23</v>
      </c>
      <c r="D77" s="50" t="s">
        <v>128</v>
      </c>
      <c r="E77" s="51">
        <v>78.92</v>
      </c>
      <c r="F77" s="51">
        <v>78.92</v>
      </c>
      <c r="G77" s="58"/>
      <c r="H77" s="54" t="e">
        <f>E77/#REF!</f>
        <v>#REF!</v>
      </c>
      <c r="I77" s="51">
        <v>0</v>
      </c>
      <c r="J77" s="51"/>
      <c r="K77" s="51">
        <v>78.92</v>
      </c>
      <c r="L77" s="51"/>
      <c r="M77" s="54" t="e">
        <f>I77/G77</f>
        <v>#DIV/0!</v>
      </c>
      <c r="N77" s="51"/>
      <c r="O77" s="54" t="e">
        <f t="shared" si="0"/>
        <v>#DIV/0!</v>
      </c>
      <c r="P77" s="51" t="e">
        <f>E77-#REF!</f>
        <v>#REF!</v>
      </c>
      <c r="Q77" s="69"/>
    </row>
    <row r="78" spans="1:17" s="32" customFormat="1" ht="180" customHeight="1" hidden="1" outlineLevel="4">
      <c r="A78" s="24" t="s">
        <v>129</v>
      </c>
      <c r="B78" s="48"/>
      <c r="C78" s="49" t="s">
        <v>130</v>
      </c>
      <c r="D78" s="50" t="s">
        <v>129</v>
      </c>
      <c r="E78" s="51">
        <v>78.92</v>
      </c>
      <c r="F78" s="51">
        <v>78.92</v>
      </c>
      <c r="G78" s="58"/>
      <c r="H78" s="54" t="e">
        <f>E78/#REF!</f>
        <v>#REF!</v>
      </c>
      <c r="I78" s="51">
        <v>0</v>
      </c>
      <c r="J78" s="51"/>
      <c r="K78" s="51">
        <v>78.92</v>
      </c>
      <c r="L78" s="51"/>
      <c r="M78" s="54" t="e">
        <f>I78/G78</f>
        <v>#DIV/0!</v>
      </c>
      <c r="N78" s="51"/>
      <c r="O78" s="54" t="e">
        <f t="shared" si="0"/>
        <v>#DIV/0!</v>
      </c>
      <c r="P78" s="51" t="e">
        <f>E78-#REF!</f>
        <v>#REF!</v>
      </c>
      <c r="Q78" s="69"/>
    </row>
    <row r="79" spans="1:17" s="32" customFormat="1" ht="180" customHeight="1" hidden="1" outlineLevel="5">
      <c r="A79" s="24" t="s">
        <v>131</v>
      </c>
      <c r="B79" s="48"/>
      <c r="C79" s="49" t="s">
        <v>132</v>
      </c>
      <c r="D79" s="50" t="s">
        <v>131</v>
      </c>
      <c r="E79" s="72">
        <f>E80+E89+E105+E108+E111+E112</f>
        <v>106887173.90000002</v>
      </c>
      <c r="F79" s="51">
        <v>78.92</v>
      </c>
      <c r="G79" s="58"/>
      <c r="H79" s="54" t="e">
        <f>E79/#REF!</f>
        <v>#REF!</v>
      </c>
      <c r="I79" s="51">
        <v>0</v>
      </c>
      <c r="J79" s="51"/>
      <c r="K79" s="51">
        <v>78.92</v>
      </c>
      <c r="L79" s="51"/>
      <c r="M79" s="54" t="e">
        <f>I79/G79</f>
        <v>#DIV/0!</v>
      </c>
      <c r="N79" s="51"/>
      <c r="O79" s="54" t="e">
        <f>K79/I79</f>
        <v>#DIV/0!</v>
      </c>
      <c r="P79" s="51" t="e">
        <f>E79-#REF!</f>
        <v>#REF!</v>
      </c>
      <c r="Q79" s="69"/>
    </row>
    <row r="80" spans="1:17" s="32" customFormat="1" ht="39" customHeight="1" outlineLevel="5">
      <c r="A80" s="24"/>
      <c r="B80" s="48" t="s">
        <v>133</v>
      </c>
      <c r="C80" s="70" t="s">
        <v>134</v>
      </c>
      <c r="D80" s="71"/>
      <c r="E80" s="72">
        <f>E81+E90+E106+E109+E112+E113</f>
        <v>73494552.89</v>
      </c>
      <c r="F80" s="72">
        <f>F81+F90+F106+F109+F112+F113</f>
        <v>40463946.09000001</v>
      </c>
      <c r="G80" s="72">
        <f>G81+G90+G106+G109+G112+G113</f>
        <v>-33018905.259999998</v>
      </c>
      <c r="H80" s="72">
        <f>F80/E80</f>
        <v>0.5505706817560042</v>
      </c>
      <c r="I80" s="72">
        <f>I81+I90+I106+I109+I112+I113</f>
        <v>129125832.09</v>
      </c>
      <c r="J80" s="72">
        <f>J81+J90+J106+J109+J112+J113</f>
        <v>2230316.48</v>
      </c>
      <c r="K80" s="72">
        <f>K81+K90+K106+K109+K112+K113</f>
        <v>91959363.38</v>
      </c>
      <c r="L80" s="72">
        <f>K80-J80</f>
        <v>89729046.89999999</v>
      </c>
      <c r="M80" s="72" t="e">
        <f>M81+M90+M106+M109+M112+M113</f>
        <v>#DIV/0!</v>
      </c>
      <c r="N80" s="72">
        <f>N81+N90+N106+N109+N112+N113</f>
        <v>-37166468.71</v>
      </c>
      <c r="O80" s="156">
        <f aca="true" t="shared" si="14" ref="O80:O127">K80/I80</f>
        <v>0.7121686024521012</v>
      </c>
      <c r="P80" s="72">
        <f>K80-F80</f>
        <v>51495417.289999984</v>
      </c>
      <c r="Q80" s="56"/>
    </row>
    <row r="81" spans="1:17" s="32" customFormat="1" ht="72" customHeight="1" outlineLevel="1">
      <c r="A81" s="24" t="s">
        <v>135</v>
      </c>
      <c r="B81" s="48" t="s">
        <v>136</v>
      </c>
      <c r="C81" s="49" t="s">
        <v>137</v>
      </c>
      <c r="D81" s="50" t="s">
        <v>135</v>
      </c>
      <c r="E81" s="51">
        <f>E82+E83+E84+E85+E89</f>
        <v>37416244.75</v>
      </c>
      <c r="F81" s="51">
        <f>F82+F83+F84+F85+F89</f>
        <v>21240998.14</v>
      </c>
      <c r="G81" s="58">
        <f>G82+G83+G85+G89</f>
        <v>-16146006.469999999</v>
      </c>
      <c r="H81" s="54">
        <f>F81/E81</f>
        <v>0.5676945477004344</v>
      </c>
      <c r="I81" s="51">
        <f>I82+I83+I84+I85+I89</f>
        <v>26290475.19</v>
      </c>
      <c r="J81" s="51">
        <f>J82+J83+J84+J85+J89</f>
        <v>859800</v>
      </c>
      <c r="K81" s="51">
        <f>K82+K83+K84+K85+K89</f>
        <v>19435188.950000003</v>
      </c>
      <c r="L81" s="51">
        <f>K81-J81</f>
        <v>18575388.950000003</v>
      </c>
      <c r="M81" s="54">
        <f>I81/G81</f>
        <v>-1.6282958413802744</v>
      </c>
      <c r="N81" s="51">
        <f>N82+N83+N84+N85+N89</f>
        <v>-6855286.24</v>
      </c>
      <c r="O81" s="54">
        <f t="shared" si="14"/>
        <v>0.7392482946596752</v>
      </c>
      <c r="P81" s="51">
        <f>K81-F81</f>
        <v>-1805809.1899999976</v>
      </c>
      <c r="Q81" s="56"/>
    </row>
    <row r="82" spans="1:17" ht="66.75" customHeight="1" outlineLevel="4">
      <c r="A82" s="64" t="s">
        <v>138</v>
      </c>
      <c r="B82" s="65" t="s">
        <v>139</v>
      </c>
      <c r="C82" s="59" t="s">
        <v>140</v>
      </c>
      <c r="D82" s="60" t="s">
        <v>138</v>
      </c>
      <c r="E82" s="61">
        <v>24363527.29</v>
      </c>
      <c r="F82" s="61">
        <v>10540517.15</v>
      </c>
      <c r="G82" s="62">
        <f>F82-E82</f>
        <v>-13823010.139999999</v>
      </c>
      <c r="H82" s="63">
        <f>F82/E82</f>
        <v>0.43263510346986384</v>
      </c>
      <c r="I82" s="61">
        <v>15000000</v>
      </c>
      <c r="J82" s="61">
        <v>350000</v>
      </c>
      <c r="K82" s="61">
        <f>10519514.84+215270.73</f>
        <v>10734785.57</v>
      </c>
      <c r="L82" s="61">
        <f>K82-J82</f>
        <v>10384785.57</v>
      </c>
      <c r="M82" s="63">
        <f>I82/G82</f>
        <v>-1.0851471458155206</v>
      </c>
      <c r="N82" s="61">
        <f>K82-I82</f>
        <v>-4265214.43</v>
      </c>
      <c r="O82" s="63">
        <f t="shared" si="14"/>
        <v>0.7156523713333334</v>
      </c>
      <c r="P82" s="61">
        <f>K82-F82</f>
        <v>194268.41999999993</v>
      </c>
      <c r="Q82" s="66" t="s">
        <v>268</v>
      </c>
    </row>
    <row r="83" spans="1:17" ht="61.5" customHeight="1" outlineLevel="4">
      <c r="A83" s="64" t="s">
        <v>141</v>
      </c>
      <c r="B83" s="65" t="s">
        <v>142</v>
      </c>
      <c r="C83" s="59" t="s">
        <v>143</v>
      </c>
      <c r="D83" s="60" t="s">
        <v>141</v>
      </c>
      <c r="E83" s="61">
        <v>977974.72</v>
      </c>
      <c r="F83" s="61">
        <v>643815.26</v>
      </c>
      <c r="G83" s="62">
        <f aca="true" t="shared" si="15" ref="G83:G89">F83-E83</f>
        <v>-334159.45999999996</v>
      </c>
      <c r="H83" s="63">
        <f aca="true" t="shared" si="16" ref="H83:H89">F83/E83</f>
        <v>0.6583148284241949</v>
      </c>
      <c r="I83" s="61">
        <v>987235.05</v>
      </c>
      <c r="J83" s="61">
        <v>109800</v>
      </c>
      <c r="K83" s="61">
        <v>713184.32</v>
      </c>
      <c r="L83" s="61">
        <f aca="true" t="shared" si="17" ref="L83:L89">K83-J83</f>
        <v>603384.32</v>
      </c>
      <c r="M83" s="63">
        <f>I83/G83</f>
        <v>-2.9543830660966477</v>
      </c>
      <c r="N83" s="61">
        <f aca="true" t="shared" si="18" ref="N83:N89">K83-I83</f>
        <v>-274050.7300000001</v>
      </c>
      <c r="O83" s="63">
        <f t="shared" si="14"/>
        <v>0.7224057938380529</v>
      </c>
      <c r="P83" s="61">
        <f aca="true" t="shared" si="19" ref="P83:P89">K83-F83</f>
        <v>69369.05999999994</v>
      </c>
      <c r="Q83" s="66"/>
    </row>
    <row r="84" spans="1:17" ht="108" customHeight="1" outlineLevel="4">
      <c r="A84" s="64"/>
      <c r="B84" s="65" t="s">
        <v>144</v>
      </c>
      <c r="C84" s="59" t="s">
        <v>145</v>
      </c>
      <c r="D84" s="60" t="s">
        <v>146</v>
      </c>
      <c r="E84" s="61">
        <v>58480.28</v>
      </c>
      <c r="F84" s="61">
        <v>29240.14</v>
      </c>
      <c r="G84" s="62">
        <f t="shared" si="15"/>
        <v>-29240.14</v>
      </c>
      <c r="H84" s="63">
        <f t="shared" si="16"/>
        <v>0.5</v>
      </c>
      <c r="I84" s="61">
        <v>29240.14</v>
      </c>
      <c r="J84" s="61"/>
      <c r="K84" s="61">
        <v>27691.96</v>
      </c>
      <c r="L84" s="61">
        <f t="shared" si="17"/>
        <v>27691.96</v>
      </c>
      <c r="M84" s="63"/>
      <c r="N84" s="61">
        <f t="shared" si="18"/>
        <v>-1548.1800000000003</v>
      </c>
      <c r="O84" s="63"/>
      <c r="P84" s="61"/>
      <c r="Q84" s="73" t="s">
        <v>147</v>
      </c>
    </row>
    <row r="85" spans="1:17" ht="38.25" customHeight="1" outlineLevel="2">
      <c r="A85" s="64" t="s">
        <v>148</v>
      </c>
      <c r="B85" s="65" t="s">
        <v>149</v>
      </c>
      <c r="C85" s="59" t="s">
        <v>150</v>
      </c>
      <c r="D85" s="60" t="s">
        <v>148</v>
      </c>
      <c r="E85" s="62">
        <v>5843542.64</v>
      </c>
      <c r="F85" s="62">
        <v>5843542.64</v>
      </c>
      <c r="G85" s="62">
        <f t="shared" si="15"/>
        <v>0</v>
      </c>
      <c r="H85" s="63">
        <f t="shared" si="16"/>
        <v>1</v>
      </c>
      <c r="I85" s="61">
        <v>4966000</v>
      </c>
      <c r="J85" s="61"/>
      <c r="K85" s="62">
        <v>4069500</v>
      </c>
      <c r="L85" s="61">
        <f t="shared" si="17"/>
        <v>4069500</v>
      </c>
      <c r="M85" s="63" t="e">
        <f aca="true" t="shared" si="20" ref="M85:M112">I85/G85</f>
        <v>#DIV/0!</v>
      </c>
      <c r="N85" s="61">
        <f t="shared" si="18"/>
        <v>-896500</v>
      </c>
      <c r="O85" s="63">
        <f t="shared" si="14"/>
        <v>0.8194724124043495</v>
      </c>
      <c r="P85" s="61">
        <f t="shared" si="19"/>
        <v>-1774042.6399999997</v>
      </c>
      <c r="Q85" s="66" t="s">
        <v>257</v>
      </c>
    </row>
    <row r="86" spans="1:17" ht="15" customHeight="1" hidden="1" outlineLevel="3">
      <c r="A86" s="64" t="s">
        <v>151</v>
      </c>
      <c r="B86" s="65"/>
      <c r="C86" s="59" t="s">
        <v>23</v>
      </c>
      <c r="D86" s="60" t="s">
        <v>151</v>
      </c>
      <c r="E86" s="61"/>
      <c r="F86" s="61"/>
      <c r="G86" s="62">
        <f t="shared" si="15"/>
        <v>0</v>
      </c>
      <c r="H86" s="63" t="e">
        <f t="shared" si="16"/>
        <v>#DIV/0!</v>
      </c>
      <c r="I86" s="61"/>
      <c r="J86" s="61"/>
      <c r="K86" s="61"/>
      <c r="L86" s="61">
        <f t="shared" si="17"/>
        <v>0</v>
      </c>
      <c r="M86" s="63" t="e">
        <f t="shared" si="20"/>
        <v>#DIV/0!</v>
      </c>
      <c r="N86" s="61">
        <f t="shared" si="18"/>
        <v>0</v>
      </c>
      <c r="O86" s="63" t="e">
        <f t="shared" si="14"/>
        <v>#DIV/0!</v>
      </c>
      <c r="P86" s="61">
        <f t="shared" si="19"/>
        <v>0</v>
      </c>
      <c r="Q86" s="68"/>
    </row>
    <row r="87" spans="1:17" ht="128.25" customHeight="1" hidden="1" outlineLevel="4">
      <c r="A87" s="64" t="s">
        <v>152</v>
      </c>
      <c r="B87" s="65"/>
      <c r="C87" s="59" t="s">
        <v>153</v>
      </c>
      <c r="D87" s="60" t="s">
        <v>152</v>
      </c>
      <c r="E87" s="61"/>
      <c r="F87" s="61"/>
      <c r="G87" s="62">
        <f t="shared" si="15"/>
        <v>0</v>
      </c>
      <c r="H87" s="63" t="e">
        <f t="shared" si="16"/>
        <v>#DIV/0!</v>
      </c>
      <c r="I87" s="61"/>
      <c r="J87" s="61"/>
      <c r="K87" s="61"/>
      <c r="L87" s="61">
        <f t="shared" si="17"/>
        <v>0</v>
      </c>
      <c r="M87" s="63" t="e">
        <f t="shared" si="20"/>
        <v>#DIV/0!</v>
      </c>
      <c r="N87" s="61">
        <f t="shared" si="18"/>
        <v>0</v>
      </c>
      <c r="O87" s="63" t="e">
        <f t="shared" si="14"/>
        <v>#DIV/0!</v>
      </c>
      <c r="P87" s="61">
        <f t="shared" si="19"/>
        <v>0</v>
      </c>
      <c r="Q87" s="68"/>
    </row>
    <row r="88" spans="1:17" ht="128.25" customHeight="1" hidden="1" outlineLevel="5">
      <c r="A88" s="64" t="s">
        <v>152</v>
      </c>
      <c r="B88" s="65"/>
      <c r="C88" s="59" t="s">
        <v>154</v>
      </c>
      <c r="D88" s="60" t="s">
        <v>152</v>
      </c>
      <c r="E88" s="61"/>
      <c r="F88" s="61"/>
      <c r="G88" s="62">
        <f t="shared" si="15"/>
        <v>0</v>
      </c>
      <c r="H88" s="63" t="e">
        <f t="shared" si="16"/>
        <v>#DIV/0!</v>
      </c>
      <c r="I88" s="61"/>
      <c r="J88" s="61"/>
      <c r="K88" s="61"/>
      <c r="L88" s="61">
        <f t="shared" si="17"/>
        <v>0</v>
      </c>
      <c r="M88" s="63" t="e">
        <f t="shared" si="20"/>
        <v>#DIV/0!</v>
      </c>
      <c r="N88" s="61">
        <f t="shared" si="18"/>
        <v>0</v>
      </c>
      <c r="O88" s="63" t="e">
        <f t="shared" si="14"/>
        <v>#DIV/0!</v>
      </c>
      <c r="P88" s="61">
        <f t="shared" si="19"/>
        <v>0</v>
      </c>
      <c r="Q88" s="68"/>
    </row>
    <row r="89" spans="1:17" ht="69.75" customHeight="1" outlineLevel="2" collapsed="1">
      <c r="A89" s="64" t="s">
        <v>155</v>
      </c>
      <c r="B89" s="65" t="s">
        <v>156</v>
      </c>
      <c r="C89" s="59" t="s">
        <v>157</v>
      </c>
      <c r="D89" s="60" t="s">
        <v>155</v>
      </c>
      <c r="E89" s="61">
        <v>6172719.82</v>
      </c>
      <c r="F89" s="61">
        <v>4183882.95</v>
      </c>
      <c r="G89" s="62">
        <f t="shared" si="15"/>
        <v>-1988836.87</v>
      </c>
      <c r="H89" s="63">
        <f t="shared" si="16"/>
        <v>0.6778021799149148</v>
      </c>
      <c r="I89" s="61">
        <v>5308000</v>
      </c>
      <c r="J89" s="61">
        <v>400000</v>
      </c>
      <c r="K89" s="61">
        <f>3782899.02+107128.08</f>
        <v>3890027.1</v>
      </c>
      <c r="L89" s="61">
        <f t="shared" si="17"/>
        <v>3490027.1</v>
      </c>
      <c r="M89" s="63">
        <f t="shared" si="20"/>
        <v>-2.6688966199626014</v>
      </c>
      <c r="N89" s="61">
        <f t="shared" si="18"/>
        <v>-1417972.9</v>
      </c>
      <c r="O89" s="63">
        <f t="shared" si="14"/>
        <v>0.7328611718161266</v>
      </c>
      <c r="P89" s="61">
        <f t="shared" si="19"/>
        <v>-293855.8500000001</v>
      </c>
      <c r="Q89" s="66"/>
    </row>
    <row r="90" spans="1:17" s="32" customFormat="1" ht="98.25" customHeight="1" outlineLevel="1">
      <c r="A90" s="24" t="s">
        <v>158</v>
      </c>
      <c r="B90" s="48" t="s">
        <v>159</v>
      </c>
      <c r="C90" s="49" t="s">
        <v>160</v>
      </c>
      <c r="D90" s="50" t="s">
        <v>158</v>
      </c>
      <c r="E90" s="51">
        <v>485335.25</v>
      </c>
      <c r="F90" s="51">
        <v>342688.35</v>
      </c>
      <c r="G90" s="58">
        <f>F90-E90</f>
        <v>-142646.90000000002</v>
      </c>
      <c r="H90" s="54">
        <f>F90/E90</f>
        <v>0.7060858447846102</v>
      </c>
      <c r="I90" s="51">
        <v>231800</v>
      </c>
      <c r="J90" s="51">
        <v>0</v>
      </c>
      <c r="K90" s="51">
        <v>183258.7</v>
      </c>
      <c r="L90" s="51">
        <f>K90-J90</f>
        <v>183258.7</v>
      </c>
      <c r="M90" s="54">
        <f t="shared" si="20"/>
        <v>-1.6249914999905357</v>
      </c>
      <c r="N90" s="51">
        <f>K90-I90</f>
        <v>-48541.29999999999</v>
      </c>
      <c r="O90" s="54">
        <f t="shared" si="14"/>
        <v>0.7905897325280414</v>
      </c>
      <c r="P90" s="51">
        <f>K90-F90</f>
        <v>-159429.64999999997</v>
      </c>
      <c r="Q90" s="74"/>
    </row>
    <row r="91" spans="1:17" s="32" customFormat="1" ht="15.75" customHeight="1" hidden="1" outlineLevel="3">
      <c r="A91" s="24" t="s">
        <v>161</v>
      </c>
      <c r="B91" s="48"/>
      <c r="C91" s="49" t="s">
        <v>23</v>
      </c>
      <c r="D91" s="50" t="s">
        <v>161</v>
      </c>
      <c r="E91" s="51">
        <v>2890.68</v>
      </c>
      <c r="F91" s="51">
        <v>2890.68</v>
      </c>
      <c r="G91" s="58"/>
      <c r="H91" s="54">
        <f aca="true" t="shared" si="21" ref="H91:H130">F91/E91</f>
        <v>1</v>
      </c>
      <c r="I91" s="51">
        <v>33800</v>
      </c>
      <c r="J91" s="51"/>
      <c r="K91" s="51">
        <v>2890.68</v>
      </c>
      <c r="L91" s="51">
        <f aca="true" t="shared" si="22" ref="L91:L120">K91-J91</f>
        <v>2890.68</v>
      </c>
      <c r="M91" s="54" t="e">
        <f t="shared" si="20"/>
        <v>#DIV/0!</v>
      </c>
      <c r="N91" s="51">
        <f aca="true" t="shared" si="23" ref="N91:N106">K91-I91</f>
        <v>-30909.32</v>
      </c>
      <c r="O91" s="54">
        <f t="shared" si="14"/>
        <v>0.08552307692307692</v>
      </c>
      <c r="P91" s="51">
        <f aca="true" t="shared" si="24" ref="P91:P130">K91-F91</f>
        <v>0</v>
      </c>
      <c r="Q91" s="69"/>
    </row>
    <row r="92" spans="1:17" s="32" customFormat="1" ht="90" customHeight="1" hidden="1" outlineLevel="4">
      <c r="A92" s="24" t="s">
        <v>162</v>
      </c>
      <c r="B92" s="48"/>
      <c r="C92" s="49" t="s">
        <v>163</v>
      </c>
      <c r="D92" s="50" t="s">
        <v>162</v>
      </c>
      <c r="E92" s="51">
        <v>0</v>
      </c>
      <c r="F92" s="51">
        <v>2890.68</v>
      </c>
      <c r="G92" s="58"/>
      <c r="H92" s="54" t="e">
        <f t="shared" si="21"/>
        <v>#DIV/0!</v>
      </c>
      <c r="I92" s="51">
        <v>33800</v>
      </c>
      <c r="J92" s="51"/>
      <c r="K92" s="51">
        <v>2890.68</v>
      </c>
      <c r="L92" s="51">
        <f t="shared" si="22"/>
        <v>2890.68</v>
      </c>
      <c r="M92" s="54" t="e">
        <f t="shared" si="20"/>
        <v>#DIV/0!</v>
      </c>
      <c r="N92" s="51">
        <f t="shared" si="23"/>
        <v>-30909.32</v>
      </c>
      <c r="O92" s="54">
        <f t="shared" si="14"/>
        <v>0.08552307692307692</v>
      </c>
      <c r="P92" s="51">
        <f t="shared" si="24"/>
        <v>0</v>
      </c>
      <c r="Q92" s="69"/>
    </row>
    <row r="93" spans="1:17" s="32" customFormat="1" ht="90" customHeight="1" hidden="1" outlineLevel="5">
      <c r="A93" s="24" t="s">
        <v>162</v>
      </c>
      <c r="B93" s="48"/>
      <c r="C93" s="49" t="s">
        <v>164</v>
      </c>
      <c r="D93" s="50" t="s">
        <v>162</v>
      </c>
      <c r="E93" s="51">
        <v>2890.68</v>
      </c>
      <c r="F93" s="51">
        <v>0</v>
      </c>
      <c r="G93" s="58"/>
      <c r="H93" s="54">
        <f t="shared" si="21"/>
        <v>0</v>
      </c>
      <c r="I93" s="51">
        <v>33800</v>
      </c>
      <c r="J93" s="51"/>
      <c r="K93" s="51">
        <v>0</v>
      </c>
      <c r="L93" s="51">
        <f t="shared" si="22"/>
        <v>0</v>
      </c>
      <c r="M93" s="54" t="e">
        <f t="shared" si="20"/>
        <v>#DIV/0!</v>
      </c>
      <c r="N93" s="51">
        <f t="shared" si="23"/>
        <v>-33800</v>
      </c>
      <c r="O93" s="54">
        <f t="shared" si="14"/>
        <v>0</v>
      </c>
      <c r="P93" s="51">
        <f t="shared" si="24"/>
        <v>0</v>
      </c>
      <c r="Q93" s="69"/>
    </row>
    <row r="94" spans="1:17" s="32" customFormat="1" ht="90" customHeight="1" hidden="1" outlineLevel="5">
      <c r="A94" s="24" t="s">
        <v>165</v>
      </c>
      <c r="B94" s="48"/>
      <c r="C94" s="49" t="s">
        <v>164</v>
      </c>
      <c r="D94" s="50" t="s">
        <v>165</v>
      </c>
      <c r="E94" s="51">
        <v>53.23</v>
      </c>
      <c r="F94" s="51">
        <v>2890.68</v>
      </c>
      <c r="G94" s="58"/>
      <c r="H94" s="54">
        <f t="shared" si="21"/>
        <v>54.30546684200639</v>
      </c>
      <c r="I94" s="51">
        <v>0</v>
      </c>
      <c r="J94" s="51"/>
      <c r="K94" s="51">
        <v>2890.68</v>
      </c>
      <c r="L94" s="51">
        <f t="shared" si="22"/>
        <v>2890.68</v>
      </c>
      <c r="M94" s="54" t="e">
        <f t="shared" si="20"/>
        <v>#DIV/0!</v>
      </c>
      <c r="N94" s="51">
        <f t="shared" si="23"/>
        <v>2890.68</v>
      </c>
      <c r="O94" s="54" t="e">
        <f t="shared" si="14"/>
        <v>#DIV/0!</v>
      </c>
      <c r="P94" s="51">
        <f t="shared" si="24"/>
        <v>0</v>
      </c>
      <c r="Q94" s="69"/>
    </row>
    <row r="95" spans="1:17" s="32" customFormat="1" ht="15.75" customHeight="1" hidden="1" outlineLevel="3">
      <c r="A95" s="24" t="s">
        <v>166</v>
      </c>
      <c r="B95" s="48"/>
      <c r="C95" s="49" t="s">
        <v>23</v>
      </c>
      <c r="D95" s="50" t="s">
        <v>166</v>
      </c>
      <c r="E95" s="51">
        <v>53.23</v>
      </c>
      <c r="F95" s="51">
        <v>53.23</v>
      </c>
      <c r="G95" s="58"/>
      <c r="H95" s="54">
        <f t="shared" si="21"/>
        <v>1</v>
      </c>
      <c r="I95" s="51">
        <v>0</v>
      </c>
      <c r="J95" s="51"/>
      <c r="K95" s="51">
        <v>53.23</v>
      </c>
      <c r="L95" s="51">
        <f t="shared" si="22"/>
        <v>53.23</v>
      </c>
      <c r="M95" s="54" t="e">
        <f t="shared" si="20"/>
        <v>#DIV/0!</v>
      </c>
      <c r="N95" s="51">
        <f t="shared" si="23"/>
        <v>53.23</v>
      </c>
      <c r="O95" s="54" t="e">
        <f t="shared" si="14"/>
        <v>#DIV/0!</v>
      </c>
      <c r="P95" s="51">
        <f t="shared" si="24"/>
        <v>0</v>
      </c>
      <c r="Q95" s="69"/>
    </row>
    <row r="96" spans="1:17" s="32" customFormat="1" ht="90" customHeight="1" hidden="1" outlineLevel="4">
      <c r="A96" s="24" t="s">
        <v>167</v>
      </c>
      <c r="B96" s="48"/>
      <c r="C96" s="49" t="s">
        <v>168</v>
      </c>
      <c r="D96" s="50" t="s">
        <v>167</v>
      </c>
      <c r="E96" s="51">
        <v>53.23</v>
      </c>
      <c r="F96" s="51">
        <v>53.23</v>
      </c>
      <c r="G96" s="58"/>
      <c r="H96" s="54">
        <f t="shared" si="21"/>
        <v>1</v>
      </c>
      <c r="I96" s="51">
        <v>0</v>
      </c>
      <c r="J96" s="51"/>
      <c r="K96" s="51">
        <v>53.23</v>
      </c>
      <c r="L96" s="51">
        <f t="shared" si="22"/>
        <v>53.23</v>
      </c>
      <c r="M96" s="54" t="e">
        <f t="shared" si="20"/>
        <v>#DIV/0!</v>
      </c>
      <c r="N96" s="51">
        <f t="shared" si="23"/>
        <v>53.23</v>
      </c>
      <c r="O96" s="54" t="e">
        <f t="shared" si="14"/>
        <v>#DIV/0!</v>
      </c>
      <c r="P96" s="51">
        <f t="shared" si="24"/>
        <v>0</v>
      </c>
      <c r="Q96" s="69"/>
    </row>
    <row r="97" spans="1:17" s="32" customFormat="1" ht="90" customHeight="1" hidden="1" outlineLevel="5">
      <c r="A97" s="24" t="s">
        <v>169</v>
      </c>
      <c r="B97" s="48"/>
      <c r="C97" s="49" t="s">
        <v>170</v>
      </c>
      <c r="D97" s="50" t="s">
        <v>169</v>
      </c>
      <c r="E97" s="51">
        <v>481.81</v>
      </c>
      <c r="F97" s="51">
        <v>53.23</v>
      </c>
      <c r="G97" s="58"/>
      <c r="H97" s="54">
        <f t="shared" si="21"/>
        <v>0.11047923455303957</v>
      </c>
      <c r="I97" s="51">
        <v>0</v>
      </c>
      <c r="J97" s="51"/>
      <c r="K97" s="51">
        <v>53.23</v>
      </c>
      <c r="L97" s="51">
        <f t="shared" si="22"/>
        <v>53.23</v>
      </c>
      <c r="M97" s="54" t="e">
        <f t="shared" si="20"/>
        <v>#DIV/0!</v>
      </c>
      <c r="N97" s="51">
        <f t="shared" si="23"/>
        <v>53.23</v>
      </c>
      <c r="O97" s="54" t="e">
        <f t="shared" si="14"/>
        <v>#DIV/0!</v>
      </c>
      <c r="P97" s="51">
        <f t="shared" si="24"/>
        <v>0</v>
      </c>
      <c r="Q97" s="69"/>
    </row>
    <row r="98" spans="1:17" s="32" customFormat="1" ht="15.75" customHeight="1" hidden="1" outlineLevel="3">
      <c r="A98" s="24" t="s">
        <v>171</v>
      </c>
      <c r="B98" s="48"/>
      <c r="C98" s="49" t="s">
        <v>23</v>
      </c>
      <c r="D98" s="50" t="s">
        <v>171</v>
      </c>
      <c r="E98" s="51">
        <v>481.81</v>
      </c>
      <c r="F98" s="51">
        <v>481.81</v>
      </c>
      <c r="G98" s="58"/>
      <c r="H98" s="54">
        <f t="shared" si="21"/>
        <v>1</v>
      </c>
      <c r="I98" s="51">
        <v>59400</v>
      </c>
      <c r="J98" s="51"/>
      <c r="K98" s="51">
        <v>481.81</v>
      </c>
      <c r="L98" s="51">
        <f t="shared" si="22"/>
        <v>481.81</v>
      </c>
      <c r="M98" s="54" t="e">
        <f t="shared" si="20"/>
        <v>#DIV/0!</v>
      </c>
      <c r="N98" s="51">
        <f t="shared" si="23"/>
        <v>-58918.19</v>
      </c>
      <c r="O98" s="54">
        <f t="shared" si="14"/>
        <v>0.008111279461279462</v>
      </c>
      <c r="P98" s="51">
        <f t="shared" si="24"/>
        <v>0</v>
      </c>
      <c r="Q98" s="69"/>
    </row>
    <row r="99" spans="1:17" s="32" customFormat="1" ht="45" customHeight="1" hidden="1" outlineLevel="4">
      <c r="A99" s="24" t="s">
        <v>172</v>
      </c>
      <c r="B99" s="48"/>
      <c r="C99" s="49" t="s">
        <v>173</v>
      </c>
      <c r="D99" s="50" t="s">
        <v>172</v>
      </c>
      <c r="E99" s="51">
        <v>0</v>
      </c>
      <c r="F99" s="51">
        <v>481.81</v>
      </c>
      <c r="G99" s="58"/>
      <c r="H99" s="54" t="e">
        <f t="shared" si="21"/>
        <v>#DIV/0!</v>
      </c>
      <c r="I99" s="51">
        <v>59400</v>
      </c>
      <c r="J99" s="51"/>
      <c r="K99" s="51">
        <v>481.81</v>
      </c>
      <c r="L99" s="51">
        <f t="shared" si="22"/>
        <v>481.81</v>
      </c>
      <c r="M99" s="54" t="e">
        <f t="shared" si="20"/>
        <v>#DIV/0!</v>
      </c>
      <c r="N99" s="51">
        <f t="shared" si="23"/>
        <v>-58918.19</v>
      </c>
      <c r="O99" s="54">
        <f t="shared" si="14"/>
        <v>0.008111279461279462</v>
      </c>
      <c r="P99" s="51">
        <f t="shared" si="24"/>
        <v>0</v>
      </c>
      <c r="Q99" s="69"/>
    </row>
    <row r="100" spans="1:17" s="32" customFormat="1" ht="60" customHeight="1" hidden="1" outlineLevel="5">
      <c r="A100" s="24" t="s">
        <v>172</v>
      </c>
      <c r="B100" s="48"/>
      <c r="C100" s="49" t="s">
        <v>174</v>
      </c>
      <c r="D100" s="50" t="s">
        <v>172</v>
      </c>
      <c r="E100" s="51">
        <v>481.81</v>
      </c>
      <c r="F100" s="51">
        <v>0</v>
      </c>
      <c r="G100" s="58"/>
      <c r="H100" s="54">
        <f t="shared" si="21"/>
        <v>0</v>
      </c>
      <c r="I100" s="51">
        <v>59400</v>
      </c>
      <c r="J100" s="51"/>
      <c r="K100" s="51">
        <v>0</v>
      </c>
      <c r="L100" s="51">
        <f t="shared" si="22"/>
        <v>0</v>
      </c>
      <c r="M100" s="54" t="e">
        <f t="shared" si="20"/>
        <v>#DIV/0!</v>
      </c>
      <c r="N100" s="51">
        <f t="shared" si="23"/>
        <v>-59400</v>
      </c>
      <c r="O100" s="54">
        <f t="shared" si="14"/>
        <v>0</v>
      </c>
      <c r="P100" s="51">
        <f t="shared" si="24"/>
        <v>0</v>
      </c>
      <c r="Q100" s="69"/>
    </row>
    <row r="101" spans="1:17" s="32" customFormat="1" ht="60" customHeight="1" hidden="1" outlineLevel="5">
      <c r="A101" s="24" t="s">
        <v>175</v>
      </c>
      <c r="B101" s="48"/>
      <c r="C101" s="49" t="s">
        <v>176</v>
      </c>
      <c r="D101" s="50" t="s">
        <v>175</v>
      </c>
      <c r="E101" s="51">
        <v>39261.54</v>
      </c>
      <c r="F101" s="51">
        <v>481.81</v>
      </c>
      <c r="G101" s="58"/>
      <c r="H101" s="54">
        <f t="shared" si="21"/>
        <v>0.01227180594546215</v>
      </c>
      <c r="I101" s="51">
        <v>0</v>
      </c>
      <c r="J101" s="51"/>
      <c r="K101" s="51">
        <v>481.81</v>
      </c>
      <c r="L101" s="51">
        <f t="shared" si="22"/>
        <v>481.81</v>
      </c>
      <c r="M101" s="54" t="e">
        <f t="shared" si="20"/>
        <v>#DIV/0!</v>
      </c>
      <c r="N101" s="51">
        <f t="shared" si="23"/>
        <v>481.81</v>
      </c>
      <c r="O101" s="54" t="e">
        <f t="shared" si="14"/>
        <v>#DIV/0!</v>
      </c>
      <c r="P101" s="51">
        <f t="shared" si="24"/>
        <v>0</v>
      </c>
      <c r="Q101" s="69"/>
    </row>
    <row r="102" spans="1:17" s="32" customFormat="1" ht="15.75" customHeight="1" hidden="1" outlineLevel="3">
      <c r="A102" s="24" t="s">
        <v>177</v>
      </c>
      <c r="B102" s="48"/>
      <c r="C102" s="49" t="s">
        <v>23</v>
      </c>
      <c r="D102" s="50" t="s">
        <v>177</v>
      </c>
      <c r="E102" s="51">
        <v>39261.54</v>
      </c>
      <c r="F102" s="51">
        <v>39261.54</v>
      </c>
      <c r="G102" s="58"/>
      <c r="H102" s="54">
        <f t="shared" si="21"/>
        <v>1</v>
      </c>
      <c r="I102" s="51">
        <v>464900</v>
      </c>
      <c r="J102" s="51"/>
      <c r="K102" s="51">
        <v>39261.54</v>
      </c>
      <c r="L102" s="51">
        <f t="shared" si="22"/>
        <v>39261.54</v>
      </c>
      <c r="M102" s="54" t="e">
        <f t="shared" si="20"/>
        <v>#DIV/0!</v>
      </c>
      <c r="N102" s="51">
        <f t="shared" si="23"/>
        <v>-425638.46</v>
      </c>
      <c r="O102" s="54">
        <f t="shared" si="14"/>
        <v>0.0844515809851581</v>
      </c>
      <c r="P102" s="51">
        <f t="shared" si="24"/>
        <v>0</v>
      </c>
      <c r="Q102" s="69"/>
    </row>
    <row r="103" spans="1:17" s="32" customFormat="1" ht="60" customHeight="1" hidden="1" outlineLevel="4">
      <c r="A103" s="24" t="s">
        <v>178</v>
      </c>
      <c r="B103" s="48"/>
      <c r="C103" s="49" t="s">
        <v>179</v>
      </c>
      <c r="D103" s="50" t="s">
        <v>178</v>
      </c>
      <c r="E103" s="51">
        <v>0</v>
      </c>
      <c r="F103" s="51">
        <v>39261.54</v>
      </c>
      <c r="G103" s="58"/>
      <c r="H103" s="54" t="e">
        <f t="shared" si="21"/>
        <v>#DIV/0!</v>
      </c>
      <c r="I103" s="51">
        <v>464900</v>
      </c>
      <c r="J103" s="51"/>
      <c r="K103" s="51">
        <v>39261.54</v>
      </c>
      <c r="L103" s="51">
        <f t="shared" si="22"/>
        <v>39261.54</v>
      </c>
      <c r="M103" s="54" t="e">
        <f t="shared" si="20"/>
        <v>#DIV/0!</v>
      </c>
      <c r="N103" s="51">
        <f t="shared" si="23"/>
        <v>-425638.46</v>
      </c>
      <c r="O103" s="54">
        <f t="shared" si="14"/>
        <v>0.0844515809851581</v>
      </c>
      <c r="P103" s="51">
        <f t="shared" si="24"/>
        <v>0</v>
      </c>
      <c r="Q103" s="69"/>
    </row>
    <row r="104" spans="1:17" s="32" customFormat="1" ht="60" customHeight="1" hidden="1" outlineLevel="5">
      <c r="A104" s="24" t="s">
        <v>178</v>
      </c>
      <c r="B104" s="48"/>
      <c r="C104" s="49" t="s">
        <v>180</v>
      </c>
      <c r="D104" s="50" t="s">
        <v>178</v>
      </c>
      <c r="E104" s="51">
        <v>39261.54</v>
      </c>
      <c r="F104" s="51">
        <v>0</v>
      </c>
      <c r="G104" s="58"/>
      <c r="H104" s="54">
        <f t="shared" si="21"/>
        <v>0</v>
      </c>
      <c r="I104" s="51">
        <v>464900</v>
      </c>
      <c r="J104" s="51"/>
      <c r="K104" s="51">
        <v>0</v>
      </c>
      <c r="L104" s="51">
        <f t="shared" si="22"/>
        <v>0</v>
      </c>
      <c r="M104" s="54" t="e">
        <f t="shared" si="20"/>
        <v>#DIV/0!</v>
      </c>
      <c r="N104" s="51">
        <f t="shared" si="23"/>
        <v>-464900</v>
      </c>
      <c r="O104" s="54">
        <f t="shared" si="14"/>
        <v>0</v>
      </c>
      <c r="P104" s="51">
        <f t="shared" si="24"/>
        <v>0</v>
      </c>
      <c r="Q104" s="69"/>
    </row>
    <row r="105" spans="1:17" s="32" customFormat="1" ht="60" customHeight="1" hidden="1" outlineLevel="5">
      <c r="A105" s="24" t="s">
        <v>181</v>
      </c>
      <c r="B105" s="48"/>
      <c r="C105" s="49" t="s">
        <v>182</v>
      </c>
      <c r="D105" s="50" t="s">
        <v>181</v>
      </c>
      <c r="E105" s="51">
        <f>E106+E107</f>
        <v>10003098.77</v>
      </c>
      <c r="F105" s="51">
        <v>39261.54</v>
      </c>
      <c r="G105" s="58"/>
      <c r="H105" s="54">
        <f t="shared" si="21"/>
        <v>0.003924937752064204</v>
      </c>
      <c r="I105" s="51">
        <v>0</v>
      </c>
      <c r="J105" s="51"/>
      <c r="K105" s="51">
        <v>39261.54</v>
      </c>
      <c r="L105" s="51">
        <f t="shared" si="22"/>
        <v>39261.54</v>
      </c>
      <c r="M105" s="54" t="e">
        <f t="shared" si="20"/>
        <v>#DIV/0!</v>
      </c>
      <c r="N105" s="51">
        <f t="shared" si="23"/>
        <v>39261.54</v>
      </c>
      <c r="O105" s="54" t="e">
        <f t="shared" si="14"/>
        <v>#DIV/0!</v>
      </c>
      <c r="P105" s="51">
        <f t="shared" si="24"/>
        <v>0</v>
      </c>
      <c r="Q105" s="69"/>
    </row>
    <row r="106" spans="1:17" s="32" customFormat="1" ht="78.75" customHeight="1" outlineLevel="1" collapsed="1">
      <c r="A106" s="24" t="s">
        <v>183</v>
      </c>
      <c r="B106" s="48" t="s">
        <v>184</v>
      </c>
      <c r="C106" s="49" t="s">
        <v>185</v>
      </c>
      <c r="D106" s="50" t="s">
        <v>183</v>
      </c>
      <c r="E106" s="51">
        <f>E107+E108</f>
        <v>6949209.46</v>
      </c>
      <c r="F106" s="51">
        <f>F107+F108</f>
        <v>2080624.46</v>
      </c>
      <c r="G106" s="58">
        <f>G107+G108</f>
        <v>-4868585</v>
      </c>
      <c r="H106" s="54">
        <f t="shared" si="21"/>
        <v>0.29940448218983456</v>
      </c>
      <c r="I106" s="51">
        <f>I107+I108</f>
        <v>21746234.24</v>
      </c>
      <c r="J106" s="51">
        <f>J107+J108</f>
        <v>217229</v>
      </c>
      <c r="K106" s="51">
        <f>K107+K108</f>
        <v>20338307.38</v>
      </c>
      <c r="L106" s="51">
        <f t="shared" si="22"/>
        <v>20121078.38</v>
      </c>
      <c r="M106" s="54">
        <f t="shared" si="20"/>
        <v>-4.4666436428654315</v>
      </c>
      <c r="N106" s="51">
        <f t="shared" si="23"/>
        <v>-1407926.8599999994</v>
      </c>
      <c r="O106" s="54">
        <f t="shared" si="14"/>
        <v>0.9352565209929423</v>
      </c>
      <c r="P106" s="51">
        <f t="shared" si="24"/>
        <v>18257682.919999998</v>
      </c>
      <c r="Q106" s="56"/>
    </row>
    <row r="107" spans="1:17" ht="62.25" customHeight="1" outlineLevel="2">
      <c r="A107" s="64" t="s">
        <v>186</v>
      </c>
      <c r="B107" s="65" t="s">
        <v>187</v>
      </c>
      <c r="C107" s="59" t="s">
        <v>188</v>
      </c>
      <c r="D107" s="60" t="s">
        <v>186</v>
      </c>
      <c r="E107" s="61">
        <v>3053889.31</v>
      </c>
      <c r="F107" s="61">
        <v>1859454.77</v>
      </c>
      <c r="G107" s="62">
        <f>F107-E107</f>
        <v>-1194434.54</v>
      </c>
      <c r="H107" s="63">
        <f t="shared" si="21"/>
        <v>0.6088808667397313</v>
      </c>
      <c r="I107" s="61">
        <v>3335156.7</v>
      </c>
      <c r="J107" s="61">
        <v>217229</v>
      </c>
      <c r="K107" s="61">
        <v>1837161.3</v>
      </c>
      <c r="L107" s="61">
        <f t="shared" si="22"/>
        <v>1619932.3</v>
      </c>
      <c r="M107" s="63">
        <f t="shared" si="20"/>
        <v>-2.792247367528404</v>
      </c>
      <c r="N107" s="61">
        <f>K107-I107</f>
        <v>-1497995.4000000001</v>
      </c>
      <c r="O107" s="63">
        <f t="shared" si="14"/>
        <v>0.5508470711436138</v>
      </c>
      <c r="P107" s="61">
        <f t="shared" si="24"/>
        <v>-22293.469999999972</v>
      </c>
      <c r="Q107" s="74"/>
    </row>
    <row r="108" spans="1:17" ht="45.75" customHeight="1" outlineLevel="3">
      <c r="A108" s="64" t="s">
        <v>189</v>
      </c>
      <c r="B108" s="65" t="s">
        <v>190</v>
      </c>
      <c r="C108" s="59" t="s">
        <v>191</v>
      </c>
      <c r="D108" s="60" t="s">
        <v>192</v>
      </c>
      <c r="E108" s="62">
        <v>3895320.15</v>
      </c>
      <c r="F108" s="62">
        <v>221169.69</v>
      </c>
      <c r="G108" s="62">
        <f>F108-E108</f>
        <v>-3674150.46</v>
      </c>
      <c r="H108" s="63">
        <f t="shared" si="21"/>
        <v>0.05677830870974752</v>
      </c>
      <c r="I108" s="61">
        <v>18411077.54</v>
      </c>
      <c r="J108" s="61"/>
      <c r="K108" s="62">
        <v>18501146.08</v>
      </c>
      <c r="L108" s="61">
        <f t="shared" si="22"/>
        <v>18501146.08</v>
      </c>
      <c r="M108" s="63">
        <f t="shared" si="20"/>
        <v>-5.01097539157392</v>
      </c>
      <c r="N108" s="61">
        <f>K108-I108</f>
        <v>90068.5399999991</v>
      </c>
      <c r="O108" s="63">
        <f t="shared" si="14"/>
        <v>1.004892084116441</v>
      </c>
      <c r="P108" s="61">
        <f t="shared" si="24"/>
        <v>18279976.389999997</v>
      </c>
      <c r="Q108" s="66" t="s">
        <v>292</v>
      </c>
    </row>
    <row r="109" spans="1:17" s="32" customFormat="1" ht="75" customHeight="1" outlineLevel="1">
      <c r="A109" s="24" t="s">
        <v>193</v>
      </c>
      <c r="B109" s="48" t="s">
        <v>194</v>
      </c>
      <c r="C109" s="49" t="s">
        <v>195</v>
      </c>
      <c r="D109" s="50" t="s">
        <v>193</v>
      </c>
      <c r="E109" s="51">
        <f>E110+E111</f>
        <v>19228417.560000002</v>
      </c>
      <c r="F109" s="51">
        <f>F110+F111</f>
        <v>10223547.620000001</v>
      </c>
      <c r="G109" s="58">
        <f>G110+G111</f>
        <v>-9004869.940000001</v>
      </c>
      <c r="H109" s="54">
        <f t="shared" si="21"/>
        <v>0.5316894948894588</v>
      </c>
      <c r="I109" s="51">
        <f>I110+I111</f>
        <v>63050705.53</v>
      </c>
      <c r="J109" s="51">
        <f>J110+J111</f>
        <v>200000</v>
      </c>
      <c r="K109" s="51">
        <f>K110+K111</f>
        <v>34778946.66</v>
      </c>
      <c r="L109" s="51">
        <f t="shared" si="22"/>
        <v>34578946.66</v>
      </c>
      <c r="M109" s="54">
        <f t="shared" si="20"/>
        <v>-7.001845218210891</v>
      </c>
      <c r="N109" s="51">
        <f>N110+N111</f>
        <v>-28271758.87</v>
      </c>
      <c r="O109" s="54">
        <f t="shared" si="14"/>
        <v>0.5516028150303871</v>
      </c>
      <c r="P109" s="51">
        <f t="shared" si="24"/>
        <v>24555399.039999995</v>
      </c>
      <c r="Q109" s="56"/>
    </row>
    <row r="110" spans="1:17" ht="75.75" customHeight="1" outlineLevel="2">
      <c r="A110" s="64" t="s">
        <v>196</v>
      </c>
      <c r="B110" s="65" t="s">
        <v>197</v>
      </c>
      <c r="C110" s="59" t="s">
        <v>198</v>
      </c>
      <c r="D110" s="60" t="s">
        <v>196</v>
      </c>
      <c r="E110" s="61">
        <v>7574993.66</v>
      </c>
      <c r="F110" s="61">
        <f>33366+3225820</f>
        <v>3259186</v>
      </c>
      <c r="G110" s="62">
        <f aca="true" t="shared" si="25" ref="G110:G130">F110-E110</f>
        <v>-4315807.66</v>
      </c>
      <c r="H110" s="63">
        <f t="shared" si="21"/>
        <v>0.4302559376663557</v>
      </c>
      <c r="I110" s="61">
        <v>37116405.53</v>
      </c>
      <c r="J110" s="61"/>
      <c r="K110" s="61">
        <f>545236+18179750.07</f>
        <v>18724986.07</v>
      </c>
      <c r="L110" s="61">
        <f t="shared" si="22"/>
        <v>18724986.07</v>
      </c>
      <c r="M110" s="63">
        <f t="shared" si="20"/>
        <v>-8.600106504746321</v>
      </c>
      <c r="N110" s="61">
        <f>K110-I110</f>
        <v>-18391419.46</v>
      </c>
      <c r="O110" s="63">
        <f t="shared" si="14"/>
        <v>0.5044935198497386</v>
      </c>
      <c r="P110" s="61">
        <f t="shared" si="24"/>
        <v>15465800.07</v>
      </c>
      <c r="Q110" s="73"/>
    </row>
    <row r="111" spans="1:17" ht="36" customHeight="1" outlineLevel="2">
      <c r="A111" s="64" t="s">
        <v>199</v>
      </c>
      <c r="B111" s="65" t="s">
        <v>200</v>
      </c>
      <c r="C111" s="59" t="s">
        <v>201</v>
      </c>
      <c r="D111" s="60" t="s">
        <v>199</v>
      </c>
      <c r="E111" s="61">
        <v>11653423.9</v>
      </c>
      <c r="F111" s="61">
        <v>6964361.62</v>
      </c>
      <c r="G111" s="62">
        <f t="shared" si="25"/>
        <v>-4689062.28</v>
      </c>
      <c r="H111" s="63">
        <f t="shared" si="21"/>
        <v>0.5976236408940724</v>
      </c>
      <c r="I111" s="61">
        <v>25934300</v>
      </c>
      <c r="J111" s="61">
        <v>200000</v>
      </c>
      <c r="K111" s="61">
        <f>16017928.55+36032.04</f>
        <v>16053960.59</v>
      </c>
      <c r="L111" s="61">
        <f t="shared" si="22"/>
        <v>15853960.59</v>
      </c>
      <c r="M111" s="63">
        <f t="shared" si="20"/>
        <v>-5.530807323804622</v>
      </c>
      <c r="N111" s="61">
        <f>K111-I111</f>
        <v>-9880339.41</v>
      </c>
      <c r="O111" s="63">
        <f t="shared" si="14"/>
        <v>0.6190242493531732</v>
      </c>
      <c r="P111" s="61">
        <f t="shared" si="24"/>
        <v>9089598.969999999</v>
      </c>
      <c r="Q111" s="66"/>
    </row>
    <row r="112" spans="1:17" s="32" customFormat="1" ht="106.5" customHeight="1" outlineLevel="1">
      <c r="A112" s="24" t="s">
        <v>202</v>
      </c>
      <c r="B112" s="48" t="s">
        <v>203</v>
      </c>
      <c r="C112" s="49" t="s">
        <v>204</v>
      </c>
      <c r="D112" s="50" t="s">
        <v>202</v>
      </c>
      <c r="E112" s="51">
        <v>1668058.37</v>
      </c>
      <c r="F112" s="51">
        <v>1109464.6</v>
      </c>
      <c r="G112" s="58">
        <f t="shared" si="25"/>
        <v>-558593.77</v>
      </c>
      <c r="H112" s="54">
        <f t="shared" si="21"/>
        <v>0.665123367355544</v>
      </c>
      <c r="I112" s="51">
        <v>3801835.05</v>
      </c>
      <c r="J112" s="51">
        <v>35150</v>
      </c>
      <c r="K112" s="51">
        <f>4529303.79+1610.62</f>
        <v>4530914.41</v>
      </c>
      <c r="L112" s="51">
        <f t="shared" si="22"/>
        <v>4495764.41</v>
      </c>
      <c r="M112" s="54">
        <f t="shared" si="20"/>
        <v>-6.806082083586431</v>
      </c>
      <c r="N112" s="51">
        <f>K112-I112</f>
        <v>729079.3600000003</v>
      </c>
      <c r="O112" s="54">
        <f t="shared" si="14"/>
        <v>1.1917703820422194</v>
      </c>
      <c r="P112" s="51">
        <f t="shared" si="24"/>
        <v>3421449.81</v>
      </c>
      <c r="Q112" s="74" t="s">
        <v>291</v>
      </c>
    </row>
    <row r="113" spans="1:17" s="32" customFormat="1" ht="30.75" customHeight="1" outlineLevel="1">
      <c r="A113" s="24" t="s">
        <v>205</v>
      </c>
      <c r="B113" s="48" t="s">
        <v>206</v>
      </c>
      <c r="C113" s="49" t="s">
        <v>207</v>
      </c>
      <c r="D113" s="50" t="s">
        <v>205</v>
      </c>
      <c r="E113" s="51">
        <f>E114+E115+E116+E117+E118+E119+E120</f>
        <v>7747287.5</v>
      </c>
      <c r="F113" s="51">
        <f>F114+F115+F116+F117+F118+F119+F120</f>
        <v>5466622.92</v>
      </c>
      <c r="G113" s="58">
        <f>G114+G115+G116+G117+G118+G119</f>
        <v>-2298203.1799999997</v>
      </c>
      <c r="H113" s="75">
        <f t="shared" si="21"/>
        <v>0.7056176655377769</v>
      </c>
      <c r="I113" s="51">
        <f>I114+I115+I116+I117+I118+I119+I120</f>
        <v>14004782.08</v>
      </c>
      <c r="J113" s="51">
        <f>J114+J115+J116+J117+J118+J119+J120</f>
        <v>918137.48</v>
      </c>
      <c r="K113" s="51">
        <f>K114+K115+K116+K117+K118+K119+K120</f>
        <v>12692747.280000001</v>
      </c>
      <c r="L113" s="51">
        <f>L114+L115+L116+L117+L118+L119+L120</f>
        <v>11774609.8</v>
      </c>
      <c r="M113" s="51" t="e">
        <f>M114+M115+M116+M117+M118+M119+M120</f>
        <v>#DIV/0!</v>
      </c>
      <c r="N113" s="51">
        <f>N114+N115+N116+N117+N118+N119+N120</f>
        <v>-1312034.7999999996</v>
      </c>
      <c r="O113" s="54">
        <f t="shared" si="14"/>
        <v>0.9063152291477856</v>
      </c>
      <c r="P113" s="51">
        <f t="shared" si="24"/>
        <v>7226124.360000001</v>
      </c>
      <c r="Q113" s="56"/>
    </row>
    <row r="114" spans="1:17" s="4" customFormat="1" ht="72" customHeight="1" outlineLevel="1">
      <c r="A114" s="76"/>
      <c r="B114" s="77" t="s">
        <v>208</v>
      </c>
      <c r="C114" s="59" t="s">
        <v>209</v>
      </c>
      <c r="D114" s="60" t="s">
        <v>210</v>
      </c>
      <c r="E114" s="78">
        <v>0</v>
      </c>
      <c r="F114" s="78">
        <v>17538.6</v>
      </c>
      <c r="G114" s="62"/>
      <c r="H114" s="63"/>
      <c r="I114" s="79"/>
      <c r="J114" s="79"/>
      <c r="K114" s="79"/>
      <c r="L114" s="61">
        <f t="shared" si="22"/>
        <v>0</v>
      </c>
      <c r="M114" s="63"/>
      <c r="N114" s="61">
        <f aca="true" t="shared" si="26" ref="N114:N120">K114-I114</f>
        <v>0</v>
      </c>
      <c r="O114" s="63"/>
      <c r="P114" s="61">
        <f t="shared" si="24"/>
        <v>-17538.6</v>
      </c>
      <c r="Q114" s="80"/>
    </row>
    <row r="115" spans="1:17" ht="94.5" customHeight="1" outlineLevel="5">
      <c r="A115" s="64" t="s">
        <v>211</v>
      </c>
      <c r="B115" s="65" t="s">
        <v>212</v>
      </c>
      <c r="C115" s="59" t="s">
        <v>213</v>
      </c>
      <c r="D115" s="60" t="s">
        <v>211</v>
      </c>
      <c r="E115" s="61">
        <v>898909.4</v>
      </c>
      <c r="F115" s="61">
        <v>409910.6</v>
      </c>
      <c r="G115" s="62">
        <f t="shared" si="25"/>
        <v>-488998.80000000005</v>
      </c>
      <c r="H115" s="63">
        <f t="shared" si="21"/>
        <v>0.4560088035568434</v>
      </c>
      <c r="I115" s="61">
        <v>936864.56</v>
      </c>
      <c r="J115" s="61"/>
      <c r="K115" s="61">
        <v>605149.2</v>
      </c>
      <c r="L115" s="61">
        <f t="shared" si="22"/>
        <v>605149.2</v>
      </c>
      <c r="M115" s="63">
        <f>I115/G115</f>
        <v>-1.9158831473615068</v>
      </c>
      <c r="N115" s="61">
        <f t="shared" si="26"/>
        <v>-331715.3600000001</v>
      </c>
      <c r="O115" s="63">
        <f t="shared" si="14"/>
        <v>0.6459302932752626</v>
      </c>
      <c r="P115" s="61">
        <f t="shared" si="24"/>
        <v>195238.59999999998</v>
      </c>
      <c r="Q115" s="66" t="s">
        <v>259</v>
      </c>
    </row>
    <row r="116" spans="1:17" ht="61.5" customHeight="1" outlineLevel="5">
      <c r="A116" s="64" t="s">
        <v>214</v>
      </c>
      <c r="B116" s="65" t="s">
        <v>215</v>
      </c>
      <c r="C116" s="59" t="s">
        <v>216</v>
      </c>
      <c r="D116" s="60" t="s">
        <v>214</v>
      </c>
      <c r="E116" s="61">
        <v>91219.38</v>
      </c>
      <c r="F116" s="61">
        <v>86355.49</v>
      </c>
      <c r="G116" s="62">
        <f t="shared" si="25"/>
        <v>-4863.889999999999</v>
      </c>
      <c r="H116" s="63">
        <f t="shared" si="21"/>
        <v>0.9466792034762789</v>
      </c>
      <c r="I116" s="61">
        <v>33077</v>
      </c>
      <c r="J116" s="61">
        <v>4255</v>
      </c>
      <c r="K116" s="61"/>
      <c r="L116" s="61">
        <f t="shared" si="22"/>
        <v>-4255</v>
      </c>
      <c r="M116" s="63">
        <f>I116/G116</f>
        <v>-6.800523860531386</v>
      </c>
      <c r="N116" s="61">
        <f t="shared" si="26"/>
        <v>-33077</v>
      </c>
      <c r="O116" s="63">
        <f t="shared" si="14"/>
        <v>0</v>
      </c>
      <c r="P116" s="61">
        <f t="shared" si="24"/>
        <v>-86355.49</v>
      </c>
      <c r="Q116" s="66" t="s">
        <v>293</v>
      </c>
    </row>
    <row r="117" spans="1:17" ht="79.5" customHeight="1" outlineLevel="5">
      <c r="A117" s="64" t="s">
        <v>217</v>
      </c>
      <c r="B117" s="65" t="s">
        <v>218</v>
      </c>
      <c r="C117" s="59" t="s">
        <v>219</v>
      </c>
      <c r="D117" s="60" t="s">
        <v>217</v>
      </c>
      <c r="E117" s="61">
        <v>0</v>
      </c>
      <c r="F117" s="61"/>
      <c r="G117" s="62">
        <f t="shared" si="25"/>
        <v>0</v>
      </c>
      <c r="H117" s="63"/>
      <c r="I117" s="61">
        <v>6000000</v>
      </c>
      <c r="J117" s="61"/>
      <c r="K117" s="61">
        <v>6000000</v>
      </c>
      <c r="L117" s="61">
        <f t="shared" si="22"/>
        <v>6000000</v>
      </c>
      <c r="M117" s="63"/>
      <c r="N117" s="61">
        <f t="shared" si="26"/>
        <v>0</v>
      </c>
      <c r="O117" s="63"/>
      <c r="P117" s="61">
        <f t="shared" si="24"/>
        <v>6000000</v>
      </c>
      <c r="Q117" s="66"/>
    </row>
    <row r="118" spans="1:17" ht="45" customHeight="1" hidden="1" outlineLevel="5">
      <c r="A118" s="64" t="s">
        <v>220</v>
      </c>
      <c r="B118" s="65"/>
      <c r="C118" s="59" t="s">
        <v>221</v>
      </c>
      <c r="D118" s="60" t="s">
        <v>220</v>
      </c>
      <c r="E118" s="61"/>
      <c r="F118" s="61"/>
      <c r="G118" s="62">
        <f t="shared" si="25"/>
        <v>0</v>
      </c>
      <c r="H118" s="63" t="e">
        <f t="shared" si="21"/>
        <v>#DIV/0!</v>
      </c>
      <c r="I118" s="61"/>
      <c r="J118" s="61"/>
      <c r="K118" s="61"/>
      <c r="L118" s="61">
        <f t="shared" si="22"/>
        <v>0</v>
      </c>
      <c r="M118" s="63" t="e">
        <f aca="true" t="shared" si="27" ref="M118:M127">I118/G118</f>
        <v>#DIV/0!</v>
      </c>
      <c r="N118" s="61">
        <f t="shared" si="26"/>
        <v>0</v>
      </c>
      <c r="O118" s="63" t="e">
        <f t="shared" si="14"/>
        <v>#DIV/0!</v>
      </c>
      <c r="P118" s="61">
        <f t="shared" si="24"/>
        <v>0</v>
      </c>
      <c r="Q118" s="81" t="s">
        <v>222</v>
      </c>
    </row>
    <row r="119" spans="1:17" ht="117" customHeight="1" outlineLevel="5">
      <c r="A119" s="64" t="s">
        <v>223</v>
      </c>
      <c r="B119" s="82" t="s">
        <v>224</v>
      </c>
      <c r="C119" s="83" t="s">
        <v>225</v>
      </c>
      <c r="D119" s="84" t="s">
        <v>223</v>
      </c>
      <c r="E119" s="85">
        <v>5165454.72</v>
      </c>
      <c r="F119" s="85">
        <v>3361114.23</v>
      </c>
      <c r="G119" s="86">
        <f t="shared" si="25"/>
        <v>-1804340.4899999998</v>
      </c>
      <c r="H119" s="87">
        <f t="shared" si="21"/>
        <v>0.6506908708319875</v>
      </c>
      <c r="I119" s="85">
        <f>4745840.52+1000000</f>
        <v>5745840.52</v>
      </c>
      <c r="J119" s="85">
        <v>913882.48</v>
      </c>
      <c r="K119" s="85">
        <v>4798598.08</v>
      </c>
      <c r="L119" s="85">
        <f t="shared" si="22"/>
        <v>3884715.6</v>
      </c>
      <c r="M119" s="87">
        <f t="shared" si="27"/>
        <v>-3.184454681278033</v>
      </c>
      <c r="N119" s="85">
        <f t="shared" si="26"/>
        <v>-947242.4399999995</v>
      </c>
      <c r="O119" s="87">
        <f t="shared" si="14"/>
        <v>0.8351429287494392</v>
      </c>
      <c r="P119" s="85">
        <f t="shared" si="24"/>
        <v>1437483.85</v>
      </c>
      <c r="Q119" s="88" t="s">
        <v>287</v>
      </c>
    </row>
    <row r="120" spans="1:17" ht="47.25" customHeight="1" outlineLevel="5" thickBot="1">
      <c r="A120" s="64"/>
      <c r="B120" s="65" t="s">
        <v>226</v>
      </c>
      <c r="C120" s="89" t="s">
        <v>227</v>
      </c>
      <c r="D120" s="90"/>
      <c r="E120" s="91">
        <v>1591704</v>
      </c>
      <c r="F120" s="91">
        <v>1591704</v>
      </c>
      <c r="G120" s="92">
        <f t="shared" si="25"/>
        <v>0</v>
      </c>
      <c r="H120" s="93">
        <f t="shared" si="21"/>
        <v>1</v>
      </c>
      <c r="I120" s="91">
        <v>1289000</v>
      </c>
      <c r="J120" s="91"/>
      <c r="K120" s="91">
        <v>1289000</v>
      </c>
      <c r="L120" s="85">
        <f t="shared" si="22"/>
        <v>1289000</v>
      </c>
      <c r="M120" s="93" t="e">
        <f t="shared" si="27"/>
        <v>#DIV/0!</v>
      </c>
      <c r="N120" s="85">
        <f t="shared" si="26"/>
        <v>0</v>
      </c>
      <c r="O120" s="93"/>
      <c r="P120" s="85">
        <f t="shared" si="24"/>
        <v>-302704</v>
      </c>
      <c r="Q120" s="94" t="s">
        <v>269</v>
      </c>
    </row>
    <row r="121" spans="1:17" s="16" customFormat="1" ht="31.5" customHeight="1" thickBot="1">
      <c r="A121" s="9" t="s">
        <v>228</v>
      </c>
      <c r="B121" s="10" t="s">
        <v>226</v>
      </c>
      <c r="C121" s="95" t="s">
        <v>229</v>
      </c>
      <c r="D121" s="96" t="s">
        <v>228</v>
      </c>
      <c r="E121" s="99">
        <f>E122+E126+E127+E128+E129+E130</f>
        <v>3087425772.07</v>
      </c>
      <c r="F121" s="99">
        <f>F122+F126+F127+F128+F129+F130</f>
        <v>1635969994.55</v>
      </c>
      <c r="G121" s="97">
        <f t="shared" si="25"/>
        <v>-1451455777.5200002</v>
      </c>
      <c r="H121" s="98">
        <f t="shared" si="21"/>
        <v>0.5298815632588132</v>
      </c>
      <c r="I121" s="99">
        <f>I122+I126+I127+I128+I129+I130</f>
        <v>2653769014.06</v>
      </c>
      <c r="J121" s="100" t="s">
        <v>230</v>
      </c>
      <c r="K121" s="99">
        <f>K122+K126+K127+K128+K129+K130</f>
        <v>1521817071</v>
      </c>
      <c r="L121" s="100" t="s">
        <v>230</v>
      </c>
      <c r="M121" s="98">
        <f t="shared" si="27"/>
        <v>-1.8283498919920986</v>
      </c>
      <c r="N121" s="99">
        <f>N122+N126+N127+N130</f>
        <v>-989275562.0799999</v>
      </c>
      <c r="O121" s="98">
        <f t="shared" si="14"/>
        <v>0.5734549853198311</v>
      </c>
      <c r="P121" s="99">
        <f t="shared" si="24"/>
        <v>-114152923.54999995</v>
      </c>
      <c r="Q121" s="101"/>
    </row>
    <row r="122" spans="1:17" ht="39.75" customHeight="1" outlineLevel="2">
      <c r="A122" s="64" t="s">
        <v>231</v>
      </c>
      <c r="B122" s="65" t="s">
        <v>232</v>
      </c>
      <c r="C122" s="102" t="s">
        <v>233</v>
      </c>
      <c r="D122" s="103" t="s">
        <v>231</v>
      </c>
      <c r="E122" s="104">
        <v>473098326.55</v>
      </c>
      <c r="F122" s="104">
        <v>300523960.77</v>
      </c>
      <c r="G122" s="105">
        <f t="shared" si="25"/>
        <v>-172574365.78000003</v>
      </c>
      <c r="H122" s="106">
        <f t="shared" si="21"/>
        <v>0.6352251612503615</v>
      </c>
      <c r="I122" s="104">
        <v>508358928.62</v>
      </c>
      <c r="J122" s="107" t="s">
        <v>230</v>
      </c>
      <c r="K122" s="104">
        <v>342459500.62</v>
      </c>
      <c r="L122" s="107" t="s">
        <v>230</v>
      </c>
      <c r="M122" s="106">
        <f t="shared" si="27"/>
        <v>-2.9457383564605553</v>
      </c>
      <c r="N122" s="85">
        <f aca="true" t="shared" si="28" ref="N122:N129">K122-I122</f>
        <v>-165899428</v>
      </c>
      <c r="O122" s="106">
        <f t="shared" si="14"/>
        <v>0.673656901334745</v>
      </c>
      <c r="P122" s="104">
        <f t="shared" si="24"/>
        <v>41935539.850000024</v>
      </c>
      <c r="Q122" s="108"/>
    </row>
    <row r="123" spans="1:17" ht="42.75" customHeight="1" hidden="1" outlineLevel="3">
      <c r="A123" s="64" t="s">
        <v>234</v>
      </c>
      <c r="B123" s="65"/>
      <c r="C123" s="59" t="s">
        <v>235</v>
      </c>
      <c r="D123" s="60" t="s">
        <v>234</v>
      </c>
      <c r="E123" s="61"/>
      <c r="F123" s="61"/>
      <c r="G123" s="105">
        <f t="shared" si="25"/>
        <v>0</v>
      </c>
      <c r="H123" s="106" t="e">
        <f t="shared" si="21"/>
        <v>#DIV/0!</v>
      </c>
      <c r="I123" s="61"/>
      <c r="J123" s="61"/>
      <c r="K123" s="61"/>
      <c r="L123" s="61"/>
      <c r="M123" s="106" t="e">
        <f t="shared" si="27"/>
        <v>#DIV/0!</v>
      </c>
      <c r="N123" s="85">
        <f t="shared" si="28"/>
        <v>0</v>
      </c>
      <c r="O123" s="106" t="e">
        <f t="shared" si="14"/>
        <v>#DIV/0!</v>
      </c>
      <c r="P123" s="104">
        <f t="shared" si="24"/>
        <v>0</v>
      </c>
      <c r="Q123" s="109"/>
    </row>
    <row r="124" spans="1:17" ht="71.25" customHeight="1" hidden="1" outlineLevel="4">
      <c r="A124" s="64" t="s">
        <v>236</v>
      </c>
      <c r="B124" s="65"/>
      <c r="C124" s="59" t="s">
        <v>237</v>
      </c>
      <c r="D124" s="60" t="s">
        <v>236</v>
      </c>
      <c r="E124" s="61"/>
      <c r="F124" s="61"/>
      <c r="G124" s="105">
        <f t="shared" si="25"/>
        <v>0</v>
      </c>
      <c r="H124" s="106" t="e">
        <f t="shared" si="21"/>
        <v>#DIV/0!</v>
      </c>
      <c r="I124" s="61"/>
      <c r="J124" s="61"/>
      <c r="K124" s="61"/>
      <c r="L124" s="61"/>
      <c r="M124" s="106" t="e">
        <f t="shared" si="27"/>
        <v>#DIV/0!</v>
      </c>
      <c r="N124" s="85">
        <f t="shared" si="28"/>
        <v>0</v>
      </c>
      <c r="O124" s="106" t="e">
        <f t="shared" si="14"/>
        <v>#DIV/0!</v>
      </c>
      <c r="P124" s="104">
        <f t="shared" si="24"/>
        <v>0</v>
      </c>
      <c r="Q124" s="109"/>
    </row>
    <row r="125" spans="1:17" ht="71.25" customHeight="1" hidden="1" outlineLevel="5">
      <c r="A125" s="64" t="s">
        <v>236</v>
      </c>
      <c r="B125" s="65"/>
      <c r="C125" s="59" t="s">
        <v>238</v>
      </c>
      <c r="D125" s="60" t="s">
        <v>236</v>
      </c>
      <c r="E125" s="61"/>
      <c r="F125" s="61"/>
      <c r="G125" s="105">
        <f t="shared" si="25"/>
        <v>0</v>
      </c>
      <c r="H125" s="106" t="e">
        <f t="shared" si="21"/>
        <v>#DIV/0!</v>
      </c>
      <c r="I125" s="61"/>
      <c r="J125" s="61"/>
      <c r="K125" s="61"/>
      <c r="L125" s="61"/>
      <c r="M125" s="106" t="e">
        <f t="shared" si="27"/>
        <v>#DIV/0!</v>
      </c>
      <c r="N125" s="85">
        <f t="shared" si="28"/>
        <v>0</v>
      </c>
      <c r="O125" s="106" t="e">
        <f t="shared" si="14"/>
        <v>#DIV/0!</v>
      </c>
      <c r="P125" s="104">
        <f t="shared" si="24"/>
        <v>0</v>
      </c>
      <c r="Q125" s="109"/>
    </row>
    <row r="126" spans="1:17" ht="21" customHeight="1" outlineLevel="2" collapsed="1">
      <c r="A126" s="64" t="s">
        <v>239</v>
      </c>
      <c r="B126" s="65" t="s">
        <v>240</v>
      </c>
      <c r="C126" s="59" t="s">
        <v>241</v>
      </c>
      <c r="D126" s="60" t="s">
        <v>242</v>
      </c>
      <c r="E126" s="110">
        <v>1985905932.37</v>
      </c>
      <c r="F126" s="110">
        <v>953697883.82</v>
      </c>
      <c r="G126" s="105">
        <f t="shared" si="25"/>
        <v>-1032208048.5499998</v>
      </c>
      <c r="H126" s="106">
        <f t="shared" si="21"/>
        <v>0.4802331612363167</v>
      </c>
      <c r="I126" s="61">
        <v>1368525070.23</v>
      </c>
      <c r="J126" s="107" t="s">
        <v>230</v>
      </c>
      <c r="K126" s="110">
        <v>732290008.52</v>
      </c>
      <c r="L126" s="107" t="s">
        <v>230</v>
      </c>
      <c r="M126" s="106">
        <f t="shared" si="27"/>
        <v>-1.3258229018388719</v>
      </c>
      <c r="N126" s="85">
        <f t="shared" si="28"/>
        <v>-636235061.71</v>
      </c>
      <c r="O126" s="106">
        <f t="shared" si="14"/>
        <v>0.5350943321753896</v>
      </c>
      <c r="P126" s="104">
        <f t="shared" si="24"/>
        <v>-221407875.30000007</v>
      </c>
      <c r="Q126" s="109"/>
    </row>
    <row r="127" spans="1:17" ht="22.5" customHeight="1" outlineLevel="5">
      <c r="A127" s="64" t="s">
        <v>243</v>
      </c>
      <c r="B127" s="65" t="s">
        <v>244</v>
      </c>
      <c r="C127" s="59" t="s">
        <v>245</v>
      </c>
      <c r="D127" s="60" t="s">
        <v>246</v>
      </c>
      <c r="E127" s="61">
        <v>520683169.05</v>
      </c>
      <c r="F127" s="61">
        <v>335995840.72</v>
      </c>
      <c r="G127" s="105">
        <f t="shared" si="25"/>
        <v>-184687328.32999998</v>
      </c>
      <c r="H127" s="106">
        <f t="shared" si="21"/>
        <v>0.6452980635672038</v>
      </c>
      <c r="I127" s="61">
        <v>564952483.03</v>
      </c>
      <c r="J127" s="107" t="s">
        <v>230</v>
      </c>
      <c r="K127" s="61">
        <v>377811410.66</v>
      </c>
      <c r="L127" s="107" t="s">
        <v>230</v>
      </c>
      <c r="M127" s="106">
        <f t="shared" si="27"/>
        <v>-3.0589672184793364</v>
      </c>
      <c r="N127" s="85">
        <f t="shared" si="28"/>
        <v>-187141072.36999995</v>
      </c>
      <c r="O127" s="106">
        <f t="shared" si="14"/>
        <v>0.668749004577678</v>
      </c>
      <c r="P127" s="104">
        <f t="shared" si="24"/>
        <v>41815569.94</v>
      </c>
      <c r="Q127" s="109"/>
    </row>
    <row r="128" spans="1:17" ht="22.5" customHeight="1" outlineLevel="5">
      <c r="A128" s="64"/>
      <c r="B128" s="65" t="s">
        <v>247</v>
      </c>
      <c r="C128" s="59" t="s">
        <v>248</v>
      </c>
      <c r="D128" s="60"/>
      <c r="E128" s="61">
        <v>110208359.34</v>
      </c>
      <c r="F128" s="61">
        <v>44390926.6</v>
      </c>
      <c r="G128" s="105">
        <f t="shared" si="25"/>
        <v>-65817432.74</v>
      </c>
      <c r="H128" s="106">
        <f t="shared" si="21"/>
        <v>0.4027909213587972</v>
      </c>
      <c r="I128" s="61">
        <v>229235816.93</v>
      </c>
      <c r="J128" s="107" t="s">
        <v>230</v>
      </c>
      <c r="K128" s="61">
        <v>86559435.95</v>
      </c>
      <c r="L128" s="107" t="s">
        <v>230</v>
      </c>
      <c r="M128" s="106"/>
      <c r="N128" s="85">
        <f t="shared" si="28"/>
        <v>-142676380.98000002</v>
      </c>
      <c r="O128" s="106"/>
      <c r="P128" s="104">
        <f t="shared" si="24"/>
        <v>42168509.35</v>
      </c>
      <c r="Q128" s="109"/>
    </row>
    <row r="129" spans="1:17" ht="54" customHeight="1" outlineLevel="5">
      <c r="A129" s="64"/>
      <c r="B129" s="65" t="s">
        <v>249</v>
      </c>
      <c r="C129" s="59" t="s">
        <v>250</v>
      </c>
      <c r="D129" s="60"/>
      <c r="E129" s="85">
        <v>1669917.56</v>
      </c>
      <c r="F129" s="85">
        <f>605111.56+1049606</f>
        <v>1654717.56</v>
      </c>
      <c r="G129" s="105"/>
      <c r="H129" s="106"/>
      <c r="I129" s="61">
        <v>936811.59</v>
      </c>
      <c r="J129" s="107" t="s">
        <v>230</v>
      </c>
      <c r="K129" s="85">
        <v>936811.59</v>
      </c>
      <c r="L129" s="107" t="s">
        <v>230</v>
      </c>
      <c r="M129" s="106"/>
      <c r="N129" s="85">
        <f t="shared" si="28"/>
        <v>0</v>
      </c>
      <c r="O129" s="106"/>
      <c r="P129" s="104">
        <f t="shared" si="24"/>
        <v>-717905.9700000001</v>
      </c>
      <c r="Q129" s="109"/>
    </row>
    <row r="130" spans="1:17" ht="40.5" customHeight="1" outlineLevel="1">
      <c r="A130" s="64" t="s">
        <v>251</v>
      </c>
      <c r="B130" s="65" t="s">
        <v>252</v>
      </c>
      <c r="C130" s="59" t="s">
        <v>253</v>
      </c>
      <c r="D130" s="60" t="s">
        <v>251</v>
      </c>
      <c r="E130" s="85">
        <v>-4139932.8</v>
      </c>
      <c r="F130" s="85">
        <v>-293334.92</v>
      </c>
      <c r="G130" s="105">
        <f t="shared" si="25"/>
        <v>3846597.88</v>
      </c>
      <c r="H130" s="106">
        <f t="shared" si="21"/>
        <v>0.07085499552070024</v>
      </c>
      <c r="I130" s="61">
        <v>-18240096.34</v>
      </c>
      <c r="J130" s="107" t="s">
        <v>230</v>
      </c>
      <c r="K130" s="85">
        <v>-18240096.34</v>
      </c>
      <c r="L130" s="107" t="s">
        <v>230</v>
      </c>
      <c r="M130" s="63"/>
      <c r="N130" s="85">
        <f>K130-I130</f>
        <v>0</v>
      </c>
      <c r="O130" s="63"/>
      <c r="P130" s="104">
        <f t="shared" si="24"/>
        <v>-17946761.419999998</v>
      </c>
      <c r="Q130" s="109"/>
    </row>
    <row r="131" spans="1:17" s="118" customFormat="1" ht="23.25" customHeight="1">
      <c r="A131" s="506" t="s">
        <v>254</v>
      </c>
      <c r="B131" s="507"/>
      <c r="C131" s="508"/>
      <c r="D131" s="509"/>
      <c r="E131" s="115">
        <f>E121+E11</f>
        <v>3513539007.31</v>
      </c>
      <c r="F131" s="115">
        <f>F121+F11</f>
        <v>1881109490.56</v>
      </c>
      <c r="G131" s="111">
        <f>F131-E131</f>
        <v>-1632429516.75</v>
      </c>
      <c r="H131" s="112">
        <f>F131/E131</f>
        <v>0.5353888164173808</v>
      </c>
      <c r="I131" s="113">
        <f>I121+I11</f>
        <v>3092878773.7799997</v>
      </c>
      <c r="J131" s="114" t="s">
        <v>230</v>
      </c>
      <c r="K131" s="115">
        <f>K121+K11</f>
        <v>1814650775.26</v>
      </c>
      <c r="L131" s="114" t="s">
        <v>230</v>
      </c>
      <c r="M131" s="112">
        <f>I131/G131</f>
        <v>-1.8946476659755604</v>
      </c>
      <c r="N131" s="115">
        <f>N121+N11</f>
        <v>-1135551617.54</v>
      </c>
      <c r="O131" s="112">
        <f>K131/I131</f>
        <v>0.5867190109886532</v>
      </c>
      <c r="P131" s="116">
        <f>K131-F131</f>
        <v>-66458715.29999995</v>
      </c>
      <c r="Q131" s="117"/>
    </row>
    <row r="132" spans="1:17" s="129" customFormat="1" ht="24.75" customHeight="1">
      <c r="A132" s="119"/>
      <c r="B132" s="120">
        <v>46</v>
      </c>
      <c r="C132" s="121" t="s">
        <v>255</v>
      </c>
      <c r="D132" s="122"/>
      <c r="E132" s="123">
        <v>39027</v>
      </c>
      <c r="F132" s="123"/>
      <c r="G132" s="124"/>
      <c r="H132" s="125"/>
      <c r="I132" s="126"/>
      <c r="J132" s="126"/>
      <c r="K132" s="123">
        <v>-39027</v>
      </c>
      <c r="L132" s="126"/>
      <c r="M132" s="125"/>
      <c r="N132" s="123"/>
      <c r="O132" s="125"/>
      <c r="P132" s="127"/>
      <c r="Q132" s="128"/>
    </row>
    <row r="133" spans="1:17" s="118" customFormat="1" ht="26.25" customHeight="1" thickBot="1">
      <c r="A133" s="130"/>
      <c r="B133" s="131"/>
      <c r="C133" s="131"/>
      <c r="D133" s="131"/>
      <c r="E133" s="136">
        <f>E131++E132</f>
        <v>3513578034.31</v>
      </c>
      <c r="F133" s="136">
        <f>F131++F132</f>
        <v>1881109490.56</v>
      </c>
      <c r="G133" s="132">
        <f>F133-E133</f>
        <v>-1632468543.75</v>
      </c>
      <c r="H133" s="133">
        <f>F133/E133</f>
        <v>0.5353828695964665</v>
      </c>
      <c r="I133" s="134">
        <f>I131++I132</f>
        <v>3092878773.7799997</v>
      </c>
      <c r="J133" s="135" t="s">
        <v>230</v>
      </c>
      <c r="K133" s="136">
        <f>K131++K132</f>
        <v>1814611748.26</v>
      </c>
      <c r="L133" s="137" t="s">
        <v>230</v>
      </c>
      <c r="M133" s="133">
        <f>I133/G133</f>
        <v>-1.894602371127618</v>
      </c>
      <c r="N133" s="136">
        <f>N131++N132</f>
        <v>-1135551617.54</v>
      </c>
      <c r="O133" s="133">
        <f>K133/I133</f>
        <v>0.5867063926473426</v>
      </c>
      <c r="P133" s="132">
        <f>K133-F133</f>
        <v>-66497742.29999995</v>
      </c>
      <c r="Q133" s="138"/>
    </row>
    <row r="134" ht="15">
      <c r="E134" s="139"/>
    </row>
    <row r="137" ht="15">
      <c r="E137" s="139"/>
    </row>
  </sheetData>
  <sheetProtection/>
  <mergeCells count="26">
    <mergeCell ref="P7:P9"/>
    <mergeCell ref="M8:M9"/>
    <mergeCell ref="N8:N9"/>
    <mergeCell ref="O8:O9"/>
    <mergeCell ref="A1:D1"/>
    <mergeCell ref="A2:D2"/>
    <mergeCell ref="A3:E3"/>
    <mergeCell ref="A4:Q4"/>
    <mergeCell ref="A5:D5"/>
    <mergeCell ref="A6:Q6"/>
    <mergeCell ref="A131:D131"/>
    <mergeCell ref="Q7:Q9"/>
    <mergeCell ref="A8:A9"/>
    <mergeCell ref="E8:E9"/>
    <mergeCell ref="F8:F9"/>
    <mergeCell ref="G8:G9"/>
    <mergeCell ref="H8:H9"/>
    <mergeCell ref="I8:I9"/>
    <mergeCell ref="J8:J9"/>
    <mergeCell ref="K8:K9"/>
    <mergeCell ref="L8:L9"/>
    <mergeCell ref="B7:B9"/>
    <mergeCell ref="C7:C9"/>
    <mergeCell ref="D7:D9"/>
    <mergeCell ref="E7:H7"/>
    <mergeCell ref="I7:O7"/>
  </mergeCells>
  <printOptions horizontalCentered="1"/>
  <pageMargins left="0" right="0" top="0.1968503937007874" bottom="0" header="0.3937007874015748" footer="0.3937007874015748"/>
  <pageSetup blackAndWhite="1" errors="blank" fitToHeight="0" fitToWidth="1" horizontalDpi="600" verticalDpi="600" orientation="landscape" paperSize="9" scale="56" r:id="rId1"/>
  <rowBreaks count="2" manualBreakCount="2">
    <brk id="109" max="16" man="1"/>
    <brk id="113" max="16" man="1"/>
  </rowBreaks>
</worksheet>
</file>

<file path=xl/worksheets/sheet5.xml><?xml version="1.0" encoding="utf-8"?>
<worksheet xmlns="http://schemas.openxmlformats.org/spreadsheetml/2006/main" xmlns:r="http://schemas.openxmlformats.org/officeDocument/2006/relationships">
  <sheetPr>
    <tabColor theme="0" tint="-0.04997999966144562"/>
    <pageSetUpPr fitToPage="1"/>
  </sheetPr>
  <dimension ref="A1:Q135"/>
  <sheetViews>
    <sheetView showGridLines="0" showZeros="0" view="pageBreakPreview" zoomScale="85" zoomScaleNormal="75" zoomScaleSheetLayoutView="85" zoomScalePageLayoutView="0" workbookViewId="0" topLeftCell="B1">
      <pane ySplit="7" topLeftCell="A78" activePane="bottomLeft" state="frozen"/>
      <selection pane="topLeft" activeCell="A1" sqref="A1"/>
      <selection pane="bottomLeft" activeCell="K78" sqref="K78"/>
    </sheetView>
  </sheetViews>
  <sheetFormatPr defaultColWidth="9.140625" defaultRowHeight="15" outlineLevelRow="5"/>
  <cols>
    <col min="1" max="1" width="9.140625" style="350" hidden="1" customWidth="1"/>
    <col min="2" max="2" width="9.28125" style="350" customWidth="1"/>
    <col min="3" max="3" width="62.421875" style="351" customWidth="1"/>
    <col min="4" max="4" width="18.00390625" style="350" hidden="1" customWidth="1"/>
    <col min="5" max="5" width="21.421875" style="350" hidden="1" customWidth="1"/>
    <col min="6" max="6" width="32.28125" style="350" customWidth="1"/>
    <col min="7" max="7" width="20.57421875" style="350" hidden="1" customWidth="1"/>
    <col min="8" max="8" width="10.28125" style="350" hidden="1" customWidth="1"/>
    <col min="9" max="9" width="20.28125" style="350" hidden="1" customWidth="1"/>
    <col min="10" max="10" width="17.57421875" style="350" hidden="1" customWidth="1"/>
    <col min="11" max="11" width="29.57421875" style="350" customWidth="1"/>
    <col min="12" max="12" width="19.140625" style="350" hidden="1" customWidth="1"/>
    <col min="13" max="13" width="14.28125" style="350" hidden="1" customWidth="1"/>
    <col min="14" max="14" width="21.140625" style="350" hidden="1" customWidth="1"/>
    <col min="15" max="15" width="13.8515625" style="350" hidden="1" customWidth="1"/>
    <col min="16" max="16" width="33.28125" style="350" customWidth="1"/>
    <col min="17" max="17" width="50.28125" style="351" hidden="1" customWidth="1"/>
    <col min="18" max="16384" width="9.140625" style="350" customWidth="1"/>
  </cols>
  <sheetData>
    <row r="1" spans="1:4" ht="13.5" customHeight="1">
      <c r="A1" s="500"/>
      <c r="B1" s="500"/>
      <c r="C1" s="501"/>
      <c r="D1" s="501"/>
    </row>
    <row r="2" spans="1:4" ht="15" customHeight="1" hidden="1">
      <c r="A2" s="500"/>
      <c r="B2" s="500"/>
      <c r="C2" s="501"/>
      <c r="D2" s="501"/>
    </row>
    <row r="3" spans="1:5" ht="18" customHeight="1">
      <c r="A3" s="500"/>
      <c r="B3" s="500"/>
      <c r="C3" s="500"/>
      <c r="D3" s="500"/>
      <c r="E3" s="500"/>
    </row>
    <row r="4" spans="1:17" ht="39" customHeight="1">
      <c r="A4" s="502" t="s">
        <v>298</v>
      </c>
      <c r="B4" s="502"/>
      <c r="C4" s="502"/>
      <c r="D4" s="502"/>
      <c r="E4" s="502"/>
      <c r="F4" s="502"/>
      <c r="G4" s="502"/>
      <c r="H4" s="502"/>
      <c r="I4" s="502"/>
      <c r="J4" s="502"/>
      <c r="K4" s="502"/>
      <c r="L4" s="502"/>
      <c r="M4" s="502"/>
      <c r="N4" s="502"/>
      <c r="O4" s="502"/>
      <c r="P4" s="502"/>
      <c r="Q4" s="502"/>
    </row>
    <row r="5" spans="1:4" ht="0.75" customHeight="1">
      <c r="A5" s="503"/>
      <c r="B5" s="503"/>
      <c r="C5" s="504"/>
      <c r="D5" s="504"/>
    </row>
    <row r="6" spans="1:17" ht="30.75" customHeight="1" thickBot="1">
      <c r="A6" s="505" t="s">
        <v>309</v>
      </c>
      <c r="B6" s="505"/>
      <c r="C6" s="505"/>
      <c r="D6" s="505"/>
      <c r="E6" s="505"/>
      <c r="F6" s="505"/>
      <c r="G6" s="505"/>
      <c r="H6" s="505"/>
      <c r="I6" s="505"/>
      <c r="J6" s="505"/>
      <c r="K6" s="505"/>
      <c r="L6" s="505"/>
      <c r="M6" s="505"/>
      <c r="N6" s="505"/>
      <c r="O6" s="505"/>
      <c r="P6" s="505"/>
      <c r="Q6" s="505"/>
    </row>
    <row r="7" spans="1:17" s="455" customFormat="1" ht="82.5" customHeight="1">
      <c r="A7" s="448" t="s">
        <v>5</v>
      </c>
      <c r="B7" s="449"/>
      <c r="C7" s="450" t="s">
        <v>308</v>
      </c>
      <c r="D7" s="450"/>
      <c r="E7" s="451" t="s">
        <v>261</v>
      </c>
      <c r="F7" s="452" t="s">
        <v>301</v>
      </c>
      <c r="G7" s="452" t="s">
        <v>6</v>
      </c>
      <c r="H7" s="452" t="s">
        <v>7</v>
      </c>
      <c r="I7" s="452" t="s">
        <v>8</v>
      </c>
      <c r="J7" s="452" t="s">
        <v>9</v>
      </c>
      <c r="K7" s="452" t="s">
        <v>302</v>
      </c>
      <c r="L7" s="452" t="s">
        <v>304</v>
      </c>
      <c r="M7" s="452" t="s">
        <v>11</v>
      </c>
      <c r="N7" s="452" t="s">
        <v>305</v>
      </c>
      <c r="O7" s="452" t="s">
        <v>13</v>
      </c>
      <c r="P7" s="453" t="s">
        <v>303</v>
      </c>
      <c r="Q7" s="454"/>
    </row>
    <row r="8" spans="1:17" ht="21" customHeight="1">
      <c r="A8" s="410"/>
      <c r="B8" s="411">
        <v>1</v>
      </c>
      <c r="C8" s="412">
        <v>2</v>
      </c>
      <c r="D8" s="413">
        <v>2</v>
      </c>
      <c r="E8" s="413">
        <v>9</v>
      </c>
      <c r="F8" s="413">
        <v>3</v>
      </c>
      <c r="G8" s="413">
        <v>5</v>
      </c>
      <c r="H8" s="413">
        <v>6</v>
      </c>
      <c r="I8" s="413">
        <v>7</v>
      </c>
      <c r="J8" s="413">
        <v>8</v>
      </c>
      <c r="K8" s="413">
        <v>4</v>
      </c>
      <c r="L8" s="413">
        <v>10</v>
      </c>
      <c r="M8" s="413">
        <v>11</v>
      </c>
      <c r="N8" s="413">
        <v>12</v>
      </c>
      <c r="O8" s="413">
        <v>13</v>
      </c>
      <c r="P8" s="413">
        <v>5</v>
      </c>
      <c r="Q8" s="414">
        <v>15</v>
      </c>
    </row>
    <row r="9" spans="1:17" s="359" customFormat="1" ht="50.25" customHeight="1" hidden="1" thickBot="1">
      <c r="A9" s="353" t="s">
        <v>14</v>
      </c>
      <c r="B9" s="354" t="s">
        <v>15</v>
      </c>
      <c r="C9" s="355" t="s">
        <v>277</v>
      </c>
      <c r="D9" s="356" t="s">
        <v>14</v>
      </c>
      <c r="E9" s="357">
        <f>E10+E78</f>
        <v>426113235.23999995</v>
      </c>
      <c r="F9" s="463">
        <v>219.8</v>
      </c>
      <c r="G9" s="463"/>
      <c r="H9" s="464"/>
      <c r="I9" s="463"/>
      <c r="J9" s="463"/>
      <c r="K9" s="463">
        <v>264.3</v>
      </c>
      <c r="L9" s="463">
        <f>K9-J9</f>
        <v>264.3</v>
      </c>
      <c r="M9" s="464" t="e">
        <f>K9/J9</f>
        <v>#DIV/0!</v>
      </c>
      <c r="N9" s="463">
        <f>K9-I9</f>
        <v>264.3</v>
      </c>
      <c r="O9" s="464" t="e">
        <f>K9/I9</f>
        <v>#DIV/0!</v>
      </c>
      <c r="P9" s="465">
        <f>K9-F9</f>
        <v>44.5</v>
      </c>
      <c r="Q9" s="358"/>
    </row>
    <row r="10" spans="1:17" s="359" customFormat="1" ht="39.75" customHeight="1">
      <c r="A10" s="353"/>
      <c r="B10" s="360" t="s">
        <v>307</v>
      </c>
      <c r="C10" s="361" t="s">
        <v>18</v>
      </c>
      <c r="D10" s="362"/>
      <c r="E10" s="363">
        <f>E11+E37+E38+E60+E64+E74</f>
        <v>352618682.34999996</v>
      </c>
      <c r="F10" s="466">
        <v>182.6</v>
      </c>
      <c r="G10" s="466"/>
      <c r="H10" s="467"/>
      <c r="I10" s="466"/>
      <c r="J10" s="466"/>
      <c r="K10" s="466">
        <v>178.7</v>
      </c>
      <c r="L10" s="466">
        <f>K10-J10</f>
        <v>178.7</v>
      </c>
      <c r="M10" s="467" t="e">
        <f>I10/G10</f>
        <v>#DIV/0!</v>
      </c>
      <c r="N10" s="466">
        <f>K10-I10</f>
        <v>178.7</v>
      </c>
      <c r="O10" s="467" t="e">
        <f>K10/I10</f>
        <v>#DIV/0!</v>
      </c>
      <c r="P10" s="466">
        <f>K10-F10</f>
        <v>-3.9000000000000057</v>
      </c>
      <c r="Q10" s="364"/>
    </row>
    <row r="11" spans="1:17" ht="52.5" customHeight="1" outlineLevel="2">
      <c r="A11" s="376" t="s">
        <v>19</v>
      </c>
      <c r="B11" s="380" t="s">
        <v>310</v>
      </c>
      <c r="C11" s="415" t="s">
        <v>21</v>
      </c>
      <c r="D11" s="416" t="s">
        <v>19</v>
      </c>
      <c r="E11" s="417">
        <v>190630093.23</v>
      </c>
      <c r="F11" s="468">
        <v>97</v>
      </c>
      <c r="G11" s="469">
        <f>F11-E11</f>
        <v>-190629996.23</v>
      </c>
      <c r="H11" s="470">
        <f>F11/E11</f>
        <v>5.088388635626751E-07</v>
      </c>
      <c r="I11" s="471">
        <v>179717500</v>
      </c>
      <c r="J11" s="472">
        <v>8290000</v>
      </c>
      <c r="K11" s="468">
        <v>101.1</v>
      </c>
      <c r="L11" s="471">
        <f>K11-J11</f>
        <v>-8289898.9</v>
      </c>
      <c r="M11" s="470">
        <f>K11/J11</f>
        <v>1.2195416164053076E-05</v>
      </c>
      <c r="N11" s="471">
        <f>K11-I11</f>
        <v>-179717398.9</v>
      </c>
      <c r="O11" s="470">
        <f aca="true" t="shared" si="0" ref="O11:O76">K11/I11</f>
        <v>5.625495569435364E-07</v>
      </c>
      <c r="P11" s="471">
        <f>K11-F11</f>
        <v>4.099999999999994</v>
      </c>
      <c r="Q11" s="366" t="s">
        <v>266</v>
      </c>
    </row>
    <row r="12" spans="1:17" ht="6.75" customHeight="1" hidden="1" outlineLevel="2">
      <c r="A12" s="376"/>
      <c r="B12" s="418"/>
      <c r="C12" s="419"/>
      <c r="D12" s="420"/>
      <c r="E12" s="395"/>
      <c r="F12" s="473"/>
      <c r="G12" s="474"/>
      <c r="H12" s="475"/>
      <c r="I12" s="476"/>
      <c r="J12" s="477"/>
      <c r="K12" s="477"/>
      <c r="L12" s="476"/>
      <c r="M12" s="475"/>
      <c r="N12" s="476"/>
      <c r="O12" s="475"/>
      <c r="P12" s="476"/>
      <c r="Q12" s="367"/>
    </row>
    <row r="13" spans="1:17" ht="15.75" customHeight="1" hidden="1" outlineLevel="3">
      <c r="A13" s="376" t="s">
        <v>22</v>
      </c>
      <c r="B13" s="418"/>
      <c r="C13" s="393" t="s">
        <v>23</v>
      </c>
      <c r="D13" s="421" t="s">
        <v>22</v>
      </c>
      <c r="E13" s="372"/>
      <c r="F13" s="478"/>
      <c r="G13" s="479">
        <f aca="true" t="shared" si="1" ref="G13:G38">F13-E13</f>
        <v>0</v>
      </c>
      <c r="H13" s="480" t="e">
        <f aca="true" t="shared" si="2" ref="H13:H38">F13/E13</f>
        <v>#DIV/0!</v>
      </c>
      <c r="I13" s="478">
        <v>148555700</v>
      </c>
      <c r="J13" s="478"/>
      <c r="K13" s="478"/>
      <c r="L13" s="478"/>
      <c r="M13" s="481" t="e">
        <f aca="true" t="shared" si="3" ref="M13:M73">I13/G13</f>
        <v>#DIV/0!</v>
      </c>
      <c r="N13" s="478"/>
      <c r="O13" s="481">
        <f t="shared" si="0"/>
        <v>0</v>
      </c>
      <c r="P13" s="482">
        <f aca="true" t="shared" si="4" ref="P13:P38">K13-F13</f>
        <v>0</v>
      </c>
      <c r="Q13" s="422"/>
    </row>
    <row r="14" spans="1:17" ht="210" customHeight="1" hidden="1" outlineLevel="4">
      <c r="A14" s="376" t="s">
        <v>24</v>
      </c>
      <c r="B14" s="377"/>
      <c r="C14" s="370" t="s">
        <v>25</v>
      </c>
      <c r="D14" s="423" t="s">
        <v>24</v>
      </c>
      <c r="E14" s="372"/>
      <c r="F14" s="483"/>
      <c r="G14" s="484">
        <f t="shared" si="1"/>
        <v>0</v>
      </c>
      <c r="H14" s="485" t="e">
        <f t="shared" si="2"/>
        <v>#DIV/0!</v>
      </c>
      <c r="I14" s="483">
        <v>148555700</v>
      </c>
      <c r="J14" s="483"/>
      <c r="K14" s="483"/>
      <c r="L14" s="483"/>
      <c r="M14" s="486" t="e">
        <f t="shared" si="3"/>
        <v>#DIV/0!</v>
      </c>
      <c r="N14" s="483"/>
      <c r="O14" s="486">
        <f t="shared" si="0"/>
        <v>0</v>
      </c>
      <c r="P14" s="487">
        <f t="shared" si="4"/>
        <v>0</v>
      </c>
      <c r="Q14" s="378"/>
    </row>
    <row r="15" spans="1:17" ht="210" customHeight="1" hidden="1" outlineLevel="5">
      <c r="A15" s="376" t="s">
        <v>24</v>
      </c>
      <c r="B15" s="377"/>
      <c r="C15" s="370" t="s">
        <v>26</v>
      </c>
      <c r="D15" s="423" t="s">
        <v>24</v>
      </c>
      <c r="E15" s="372"/>
      <c r="F15" s="483"/>
      <c r="G15" s="484">
        <f t="shared" si="1"/>
        <v>0</v>
      </c>
      <c r="H15" s="485" t="e">
        <f t="shared" si="2"/>
        <v>#DIV/0!</v>
      </c>
      <c r="I15" s="483">
        <v>148555700</v>
      </c>
      <c r="J15" s="483"/>
      <c r="K15" s="483"/>
      <c r="L15" s="483"/>
      <c r="M15" s="486" t="e">
        <f t="shared" si="3"/>
        <v>#DIV/0!</v>
      </c>
      <c r="N15" s="483"/>
      <c r="O15" s="486">
        <f t="shared" si="0"/>
        <v>0</v>
      </c>
      <c r="P15" s="487">
        <f t="shared" si="4"/>
        <v>0</v>
      </c>
      <c r="Q15" s="378"/>
    </row>
    <row r="16" spans="1:17" ht="210" customHeight="1" hidden="1" outlineLevel="5">
      <c r="A16" s="376" t="s">
        <v>27</v>
      </c>
      <c r="B16" s="377"/>
      <c r="C16" s="370" t="s">
        <v>28</v>
      </c>
      <c r="D16" s="423" t="s">
        <v>27</v>
      </c>
      <c r="E16" s="372"/>
      <c r="F16" s="483"/>
      <c r="G16" s="484">
        <f t="shared" si="1"/>
        <v>0</v>
      </c>
      <c r="H16" s="485" t="e">
        <f t="shared" si="2"/>
        <v>#DIV/0!</v>
      </c>
      <c r="I16" s="483">
        <v>0</v>
      </c>
      <c r="J16" s="483"/>
      <c r="K16" s="483"/>
      <c r="L16" s="483"/>
      <c r="M16" s="486" t="e">
        <f t="shared" si="3"/>
        <v>#DIV/0!</v>
      </c>
      <c r="N16" s="483"/>
      <c r="O16" s="486" t="e">
        <f t="shared" si="0"/>
        <v>#DIV/0!</v>
      </c>
      <c r="P16" s="487">
        <f t="shared" si="4"/>
        <v>0</v>
      </c>
      <c r="Q16" s="378"/>
    </row>
    <row r="17" spans="1:17" ht="210" customHeight="1" hidden="1" outlineLevel="5">
      <c r="A17" s="376" t="s">
        <v>29</v>
      </c>
      <c r="B17" s="377"/>
      <c r="C17" s="370" t="s">
        <v>26</v>
      </c>
      <c r="D17" s="423" t="s">
        <v>29</v>
      </c>
      <c r="E17" s="372"/>
      <c r="F17" s="483"/>
      <c r="G17" s="484">
        <f t="shared" si="1"/>
        <v>0</v>
      </c>
      <c r="H17" s="485" t="e">
        <f t="shared" si="2"/>
        <v>#DIV/0!</v>
      </c>
      <c r="I17" s="483">
        <v>0</v>
      </c>
      <c r="J17" s="483"/>
      <c r="K17" s="483"/>
      <c r="L17" s="483"/>
      <c r="M17" s="486" t="e">
        <f t="shared" si="3"/>
        <v>#DIV/0!</v>
      </c>
      <c r="N17" s="483"/>
      <c r="O17" s="486" t="e">
        <f t="shared" si="0"/>
        <v>#DIV/0!</v>
      </c>
      <c r="P17" s="487">
        <f t="shared" si="4"/>
        <v>0</v>
      </c>
      <c r="Q17" s="378"/>
    </row>
    <row r="18" spans="1:17" ht="210" customHeight="1" hidden="1" outlineLevel="5">
      <c r="A18" s="376" t="s">
        <v>30</v>
      </c>
      <c r="B18" s="377"/>
      <c r="C18" s="370" t="s">
        <v>26</v>
      </c>
      <c r="D18" s="423" t="s">
        <v>30</v>
      </c>
      <c r="E18" s="372"/>
      <c r="F18" s="483"/>
      <c r="G18" s="484">
        <f t="shared" si="1"/>
        <v>0</v>
      </c>
      <c r="H18" s="485" t="e">
        <f t="shared" si="2"/>
        <v>#DIV/0!</v>
      </c>
      <c r="I18" s="483">
        <v>0</v>
      </c>
      <c r="J18" s="483"/>
      <c r="K18" s="483"/>
      <c r="L18" s="483"/>
      <c r="M18" s="486" t="e">
        <f t="shared" si="3"/>
        <v>#DIV/0!</v>
      </c>
      <c r="N18" s="483"/>
      <c r="O18" s="486" t="e">
        <f t="shared" si="0"/>
        <v>#DIV/0!</v>
      </c>
      <c r="P18" s="487">
        <f t="shared" si="4"/>
        <v>0</v>
      </c>
      <c r="Q18" s="378"/>
    </row>
    <row r="19" spans="1:17" ht="210" customHeight="1" hidden="1" outlineLevel="5">
      <c r="A19" s="376" t="s">
        <v>31</v>
      </c>
      <c r="B19" s="377"/>
      <c r="C19" s="370" t="s">
        <v>28</v>
      </c>
      <c r="D19" s="423" t="s">
        <v>31</v>
      </c>
      <c r="E19" s="372"/>
      <c r="F19" s="483"/>
      <c r="G19" s="484">
        <f t="shared" si="1"/>
        <v>0</v>
      </c>
      <c r="H19" s="485" t="e">
        <f t="shared" si="2"/>
        <v>#DIV/0!</v>
      </c>
      <c r="I19" s="483">
        <v>0</v>
      </c>
      <c r="J19" s="483"/>
      <c r="K19" s="483"/>
      <c r="L19" s="483"/>
      <c r="M19" s="486" t="e">
        <f t="shared" si="3"/>
        <v>#DIV/0!</v>
      </c>
      <c r="N19" s="483"/>
      <c r="O19" s="486" t="e">
        <f t="shared" si="0"/>
        <v>#DIV/0!</v>
      </c>
      <c r="P19" s="487">
        <f t="shared" si="4"/>
        <v>0</v>
      </c>
      <c r="Q19" s="378"/>
    </row>
    <row r="20" spans="1:17" ht="15.75" customHeight="1" hidden="1" outlineLevel="3">
      <c r="A20" s="376" t="s">
        <v>32</v>
      </c>
      <c r="B20" s="377"/>
      <c r="C20" s="370" t="s">
        <v>23</v>
      </c>
      <c r="D20" s="423" t="s">
        <v>32</v>
      </c>
      <c r="E20" s="372"/>
      <c r="F20" s="483"/>
      <c r="G20" s="484">
        <f t="shared" si="1"/>
        <v>0</v>
      </c>
      <c r="H20" s="485" t="e">
        <f t="shared" si="2"/>
        <v>#DIV/0!</v>
      </c>
      <c r="I20" s="483">
        <v>750300</v>
      </c>
      <c r="J20" s="483"/>
      <c r="K20" s="483"/>
      <c r="L20" s="483"/>
      <c r="M20" s="486" t="e">
        <f t="shared" si="3"/>
        <v>#DIV/0!</v>
      </c>
      <c r="N20" s="483"/>
      <c r="O20" s="486">
        <f t="shared" si="0"/>
        <v>0</v>
      </c>
      <c r="P20" s="487">
        <f t="shared" si="4"/>
        <v>0</v>
      </c>
      <c r="Q20" s="378"/>
    </row>
    <row r="21" spans="1:17" ht="330" customHeight="1" hidden="1" outlineLevel="4">
      <c r="A21" s="376" t="s">
        <v>33</v>
      </c>
      <c r="B21" s="377"/>
      <c r="C21" s="370" t="s">
        <v>34</v>
      </c>
      <c r="D21" s="423" t="s">
        <v>33</v>
      </c>
      <c r="E21" s="372"/>
      <c r="F21" s="483"/>
      <c r="G21" s="484">
        <f t="shared" si="1"/>
        <v>0</v>
      </c>
      <c r="H21" s="485" t="e">
        <f t="shared" si="2"/>
        <v>#DIV/0!</v>
      </c>
      <c r="I21" s="483">
        <v>750300</v>
      </c>
      <c r="J21" s="483"/>
      <c r="K21" s="483"/>
      <c r="L21" s="483"/>
      <c r="M21" s="486" t="e">
        <f t="shared" si="3"/>
        <v>#DIV/0!</v>
      </c>
      <c r="N21" s="483"/>
      <c r="O21" s="486">
        <f t="shared" si="0"/>
        <v>0</v>
      </c>
      <c r="P21" s="487">
        <f t="shared" si="4"/>
        <v>0</v>
      </c>
      <c r="Q21" s="378"/>
    </row>
    <row r="22" spans="1:17" ht="330" customHeight="1" hidden="1" outlineLevel="5">
      <c r="A22" s="376" t="s">
        <v>33</v>
      </c>
      <c r="B22" s="377"/>
      <c r="C22" s="370" t="s">
        <v>35</v>
      </c>
      <c r="D22" s="423" t="s">
        <v>33</v>
      </c>
      <c r="E22" s="372"/>
      <c r="F22" s="483"/>
      <c r="G22" s="484">
        <f t="shared" si="1"/>
        <v>0</v>
      </c>
      <c r="H22" s="485" t="e">
        <f t="shared" si="2"/>
        <v>#DIV/0!</v>
      </c>
      <c r="I22" s="483">
        <v>750300</v>
      </c>
      <c r="J22" s="483"/>
      <c r="K22" s="483"/>
      <c r="L22" s="483"/>
      <c r="M22" s="486" t="e">
        <f t="shared" si="3"/>
        <v>#DIV/0!</v>
      </c>
      <c r="N22" s="483"/>
      <c r="O22" s="486">
        <f t="shared" si="0"/>
        <v>0</v>
      </c>
      <c r="P22" s="487">
        <f t="shared" si="4"/>
        <v>0</v>
      </c>
      <c r="Q22" s="378"/>
    </row>
    <row r="23" spans="1:17" ht="330" customHeight="1" hidden="1" outlineLevel="5">
      <c r="A23" s="376" t="s">
        <v>36</v>
      </c>
      <c r="B23" s="377"/>
      <c r="C23" s="370" t="s">
        <v>35</v>
      </c>
      <c r="D23" s="423" t="s">
        <v>36</v>
      </c>
      <c r="E23" s="372"/>
      <c r="F23" s="483"/>
      <c r="G23" s="484">
        <f t="shared" si="1"/>
        <v>0</v>
      </c>
      <c r="H23" s="485" t="e">
        <f t="shared" si="2"/>
        <v>#DIV/0!</v>
      </c>
      <c r="I23" s="483">
        <v>0</v>
      </c>
      <c r="J23" s="483"/>
      <c r="K23" s="483"/>
      <c r="L23" s="483"/>
      <c r="M23" s="486" t="e">
        <f t="shared" si="3"/>
        <v>#DIV/0!</v>
      </c>
      <c r="N23" s="483"/>
      <c r="O23" s="486" t="e">
        <f t="shared" si="0"/>
        <v>#DIV/0!</v>
      </c>
      <c r="P23" s="487">
        <f t="shared" si="4"/>
        <v>0</v>
      </c>
      <c r="Q23" s="378"/>
    </row>
    <row r="24" spans="1:17" ht="15.75" customHeight="1" hidden="1" outlineLevel="5">
      <c r="A24" s="376" t="s">
        <v>37</v>
      </c>
      <c r="B24" s="377"/>
      <c r="C24" s="370">
        <v>1.82101020200121E+19</v>
      </c>
      <c r="D24" s="423" t="s">
        <v>37</v>
      </c>
      <c r="E24" s="372"/>
      <c r="F24" s="483"/>
      <c r="G24" s="484">
        <f t="shared" si="1"/>
        <v>0</v>
      </c>
      <c r="H24" s="485" t="e">
        <f t="shared" si="2"/>
        <v>#DIV/0!</v>
      </c>
      <c r="I24" s="483">
        <v>0</v>
      </c>
      <c r="J24" s="483"/>
      <c r="K24" s="483"/>
      <c r="L24" s="483"/>
      <c r="M24" s="486" t="e">
        <f t="shared" si="3"/>
        <v>#DIV/0!</v>
      </c>
      <c r="N24" s="483"/>
      <c r="O24" s="486" t="e">
        <f t="shared" si="0"/>
        <v>#DIV/0!</v>
      </c>
      <c r="P24" s="487">
        <f t="shared" si="4"/>
        <v>0</v>
      </c>
      <c r="Q24" s="378"/>
    </row>
    <row r="25" spans="1:17" ht="330" customHeight="1" hidden="1" outlineLevel="5">
      <c r="A25" s="376" t="s">
        <v>38</v>
      </c>
      <c r="B25" s="377"/>
      <c r="C25" s="370" t="s">
        <v>35</v>
      </c>
      <c r="D25" s="423" t="s">
        <v>38</v>
      </c>
      <c r="E25" s="372"/>
      <c r="F25" s="483"/>
      <c r="G25" s="484">
        <f t="shared" si="1"/>
        <v>0</v>
      </c>
      <c r="H25" s="485" t="e">
        <f t="shared" si="2"/>
        <v>#DIV/0!</v>
      </c>
      <c r="I25" s="483">
        <v>0</v>
      </c>
      <c r="J25" s="483"/>
      <c r="K25" s="483"/>
      <c r="L25" s="483"/>
      <c r="M25" s="486" t="e">
        <f t="shared" si="3"/>
        <v>#DIV/0!</v>
      </c>
      <c r="N25" s="483"/>
      <c r="O25" s="486" t="e">
        <f t="shared" si="0"/>
        <v>#DIV/0!</v>
      </c>
      <c r="P25" s="487">
        <f t="shared" si="4"/>
        <v>0</v>
      </c>
      <c r="Q25" s="378"/>
    </row>
    <row r="26" spans="1:17" ht="15.75" customHeight="1" hidden="1" outlineLevel="3">
      <c r="A26" s="376" t="s">
        <v>39</v>
      </c>
      <c r="B26" s="377"/>
      <c r="C26" s="370" t="s">
        <v>23</v>
      </c>
      <c r="D26" s="423" t="s">
        <v>39</v>
      </c>
      <c r="E26" s="372"/>
      <c r="F26" s="483"/>
      <c r="G26" s="484">
        <f t="shared" si="1"/>
        <v>0</v>
      </c>
      <c r="H26" s="485" t="e">
        <f t="shared" si="2"/>
        <v>#DIV/0!</v>
      </c>
      <c r="I26" s="483">
        <v>450200</v>
      </c>
      <c r="J26" s="483"/>
      <c r="K26" s="483"/>
      <c r="L26" s="483"/>
      <c r="M26" s="486" t="e">
        <f t="shared" si="3"/>
        <v>#DIV/0!</v>
      </c>
      <c r="N26" s="483"/>
      <c r="O26" s="486">
        <f t="shared" si="0"/>
        <v>0</v>
      </c>
      <c r="P26" s="487">
        <f t="shared" si="4"/>
        <v>0</v>
      </c>
      <c r="Q26" s="378"/>
    </row>
    <row r="27" spans="1:17" ht="120" customHeight="1" hidden="1" outlineLevel="4">
      <c r="A27" s="376" t="s">
        <v>40</v>
      </c>
      <c r="B27" s="377"/>
      <c r="C27" s="370" t="s">
        <v>41</v>
      </c>
      <c r="D27" s="423" t="s">
        <v>40</v>
      </c>
      <c r="E27" s="372"/>
      <c r="F27" s="483"/>
      <c r="G27" s="484">
        <f t="shared" si="1"/>
        <v>0</v>
      </c>
      <c r="H27" s="485" t="e">
        <f t="shared" si="2"/>
        <v>#DIV/0!</v>
      </c>
      <c r="I27" s="483">
        <v>450200</v>
      </c>
      <c r="J27" s="483"/>
      <c r="K27" s="483"/>
      <c r="L27" s="483"/>
      <c r="M27" s="486" t="e">
        <f t="shared" si="3"/>
        <v>#DIV/0!</v>
      </c>
      <c r="N27" s="483"/>
      <c r="O27" s="486">
        <f t="shared" si="0"/>
        <v>0</v>
      </c>
      <c r="P27" s="487">
        <f t="shared" si="4"/>
        <v>0</v>
      </c>
      <c r="Q27" s="378"/>
    </row>
    <row r="28" spans="1:17" ht="120" customHeight="1" hidden="1" outlineLevel="5">
      <c r="A28" s="376" t="s">
        <v>40</v>
      </c>
      <c r="B28" s="377"/>
      <c r="C28" s="370" t="s">
        <v>42</v>
      </c>
      <c r="D28" s="423" t="s">
        <v>40</v>
      </c>
      <c r="E28" s="372"/>
      <c r="F28" s="483"/>
      <c r="G28" s="484">
        <f t="shared" si="1"/>
        <v>0</v>
      </c>
      <c r="H28" s="485" t="e">
        <f t="shared" si="2"/>
        <v>#DIV/0!</v>
      </c>
      <c r="I28" s="483">
        <v>450200</v>
      </c>
      <c r="J28" s="483"/>
      <c r="K28" s="483"/>
      <c r="L28" s="483"/>
      <c r="M28" s="486" t="e">
        <f t="shared" si="3"/>
        <v>#DIV/0!</v>
      </c>
      <c r="N28" s="483"/>
      <c r="O28" s="486">
        <f t="shared" si="0"/>
        <v>0</v>
      </c>
      <c r="P28" s="487">
        <f t="shared" si="4"/>
        <v>0</v>
      </c>
      <c r="Q28" s="378"/>
    </row>
    <row r="29" spans="1:17" ht="120" customHeight="1" hidden="1" outlineLevel="5">
      <c r="A29" s="376" t="s">
        <v>43</v>
      </c>
      <c r="B29" s="377"/>
      <c r="C29" s="370" t="s">
        <v>44</v>
      </c>
      <c r="D29" s="423" t="s">
        <v>43</v>
      </c>
      <c r="E29" s="372"/>
      <c r="F29" s="483"/>
      <c r="G29" s="484">
        <f t="shared" si="1"/>
        <v>0</v>
      </c>
      <c r="H29" s="485" t="e">
        <f t="shared" si="2"/>
        <v>#DIV/0!</v>
      </c>
      <c r="I29" s="483">
        <v>0</v>
      </c>
      <c r="J29" s="483"/>
      <c r="K29" s="483"/>
      <c r="L29" s="483"/>
      <c r="M29" s="486" t="e">
        <f t="shared" si="3"/>
        <v>#DIV/0!</v>
      </c>
      <c r="N29" s="483"/>
      <c r="O29" s="486" t="e">
        <f t="shared" si="0"/>
        <v>#DIV/0!</v>
      </c>
      <c r="P29" s="487">
        <f t="shared" si="4"/>
        <v>0</v>
      </c>
      <c r="Q29" s="378"/>
    </row>
    <row r="30" spans="1:17" ht="15.75" customHeight="1" hidden="1" outlineLevel="5">
      <c r="A30" s="376" t="s">
        <v>45</v>
      </c>
      <c r="B30" s="377"/>
      <c r="C30" s="370">
        <v>1.82101020300121E+19</v>
      </c>
      <c r="D30" s="423" t="s">
        <v>45</v>
      </c>
      <c r="E30" s="372"/>
      <c r="F30" s="483"/>
      <c r="G30" s="484">
        <f t="shared" si="1"/>
        <v>0</v>
      </c>
      <c r="H30" s="485" t="e">
        <f t="shared" si="2"/>
        <v>#DIV/0!</v>
      </c>
      <c r="I30" s="483">
        <v>0</v>
      </c>
      <c r="J30" s="483"/>
      <c r="K30" s="483"/>
      <c r="L30" s="483"/>
      <c r="M30" s="486" t="e">
        <f t="shared" si="3"/>
        <v>#DIV/0!</v>
      </c>
      <c r="N30" s="483"/>
      <c r="O30" s="486" t="e">
        <f t="shared" si="0"/>
        <v>#DIV/0!</v>
      </c>
      <c r="P30" s="487">
        <f t="shared" si="4"/>
        <v>0</v>
      </c>
      <c r="Q30" s="378"/>
    </row>
    <row r="31" spans="1:17" ht="120" customHeight="1" hidden="1" outlineLevel="5">
      <c r="A31" s="376" t="s">
        <v>46</v>
      </c>
      <c r="B31" s="377"/>
      <c r="C31" s="370" t="s">
        <v>44</v>
      </c>
      <c r="D31" s="423" t="s">
        <v>46</v>
      </c>
      <c r="E31" s="372"/>
      <c r="F31" s="483"/>
      <c r="G31" s="484">
        <f t="shared" si="1"/>
        <v>0</v>
      </c>
      <c r="H31" s="485" t="e">
        <f t="shared" si="2"/>
        <v>#DIV/0!</v>
      </c>
      <c r="I31" s="483">
        <v>0</v>
      </c>
      <c r="J31" s="483"/>
      <c r="K31" s="483"/>
      <c r="L31" s="483"/>
      <c r="M31" s="486" t="e">
        <f t="shared" si="3"/>
        <v>#DIV/0!</v>
      </c>
      <c r="N31" s="483"/>
      <c r="O31" s="486" t="e">
        <f t="shared" si="0"/>
        <v>#DIV/0!</v>
      </c>
      <c r="P31" s="487">
        <f t="shared" si="4"/>
        <v>0</v>
      </c>
      <c r="Q31" s="378"/>
    </row>
    <row r="32" spans="1:17" ht="120" customHeight="1" hidden="1" outlineLevel="5">
      <c r="A32" s="376" t="s">
        <v>47</v>
      </c>
      <c r="B32" s="377"/>
      <c r="C32" s="370" t="s">
        <v>44</v>
      </c>
      <c r="D32" s="423" t="s">
        <v>47</v>
      </c>
      <c r="E32" s="372"/>
      <c r="F32" s="483"/>
      <c r="G32" s="484">
        <f t="shared" si="1"/>
        <v>0</v>
      </c>
      <c r="H32" s="485" t="e">
        <f t="shared" si="2"/>
        <v>#DIV/0!</v>
      </c>
      <c r="I32" s="483">
        <v>0</v>
      </c>
      <c r="J32" s="483"/>
      <c r="K32" s="483"/>
      <c r="L32" s="483"/>
      <c r="M32" s="486" t="e">
        <f t="shared" si="3"/>
        <v>#DIV/0!</v>
      </c>
      <c r="N32" s="483"/>
      <c r="O32" s="486" t="e">
        <f t="shared" si="0"/>
        <v>#DIV/0!</v>
      </c>
      <c r="P32" s="487">
        <f t="shared" si="4"/>
        <v>0</v>
      </c>
      <c r="Q32" s="378"/>
    </row>
    <row r="33" spans="1:17" ht="15.75" customHeight="1" hidden="1" outlineLevel="3">
      <c r="A33" s="376" t="s">
        <v>48</v>
      </c>
      <c r="B33" s="377"/>
      <c r="C33" s="370" t="s">
        <v>23</v>
      </c>
      <c r="D33" s="423" t="s">
        <v>48</v>
      </c>
      <c r="E33" s="372"/>
      <c r="F33" s="483"/>
      <c r="G33" s="484">
        <f t="shared" si="1"/>
        <v>0</v>
      </c>
      <c r="H33" s="485" t="e">
        <f t="shared" si="2"/>
        <v>#DIV/0!</v>
      </c>
      <c r="I33" s="483">
        <v>300100</v>
      </c>
      <c r="J33" s="483"/>
      <c r="K33" s="483"/>
      <c r="L33" s="483"/>
      <c r="M33" s="486" t="e">
        <f t="shared" si="3"/>
        <v>#DIV/0!</v>
      </c>
      <c r="N33" s="483"/>
      <c r="O33" s="486">
        <f t="shared" si="0"/>
        <v>0</v>
      </c>
      <c r="P33" s="487">
        <f t="shared" si="4"/>
        <v>0</v>
      </c>
      <c r="Q33" s="378"/>
    </row>
    <row r="34" spans="1:17" ht="270" customHeight="1" hidden="1" outlineLevel="4">
      <c r="A34" s="376" t="s">
        <v>49</v>
      </c>
      <c r="B34" s="377"/>
      <c r="C34" s="370" t="s">
        <v>50</v>
      </c>
      <c r="D34" s="423" t="s">
        <v>49</v>
      </c>
      <c r="E34" s="372"/>
      <c r="F34" s="483"/>
      <c r="G34" s="484">
        <f t="shared" si="1"/>
        <v>0</v>
      </c>
      <c r="H34" s="485" t="e">
        <f t="shared" si="2"/>
        <v>#DIV/0!</v>
      </c>
      <c r="I34" s="483">
        <v>300100</v>
      </c>
      <c r="J34" s="483"/>
      <c r="K34" s="483"/>
      <c r="L34" s="483"/>
      <c r="M34" s="486" t="e">
        <f t="shared" si="3"/>
        <v>#DIV/0!</v>
      </c>
      <c r="N34" s="483"/>
      <c r="O34" s="486">
        <f t="shared" si="0"/>
        <v>0</v>
      </c>
      <c r="P34" s="487">
        <f t="shared" si="4"/>
        <v>0</v>
      </c>
      <c r="Q34" s="378"/>
    </row>
    <row r="35" spans="1:17" ht="270" customHeight="1" hidden="1" outlineLevel="5">
      <c r="A35" s="376" t="s">
        <v>49</v>
      </c>
      <c r="B35" s="377"/>
      <c r="C35" s="370" t="s">
        <v>51</v>
      </c>
      <c r="D35" s="423" t="s">
        <v>49</v>
      </c>
      <c r="E35" s="372"/>
      <c r="F35" s="483"/>
      <c r="G35" s="484">
        <f t="shared" si="1"/>
        <v>0</v>
      </c>
      <c r="H35" s="485" t="e">
        <f t="shared" si="2"/>
        <v>#DIV/0!</v>
      </c>
      <c r="I35" s="483">
        <v>300100</v>
      </c>
      <c r="J35" s="483"/>
      <c r="K35" s="483"/>
      <c r="L35" s="483"/>
      <c r="M35" s="486" t="e">
        <f t="shared" si="3"/>
        <v>#DIV/0!</v>
      </c>
      <c r="N35" s="483"/>
      <c r="O35" s="486">
        <f t="shared" si="0"/>
        <v>0</v>
      </c>
      <c r="P35" s="487">
        <f t="shared" si="4"/>
        <v>0</v>
      </c>
      <c r="Q35" s="378"/>
    </row>
    <row r="36" spans="1:17" ht="409.5" customHeight="1" hidden="1" outlineLevel="5">
      <c r="A36" s="376" t="s">
        <v>52</v>
      </c>
      <c r="B36" s="377"/>
      <c r="C36" s="370" t="s">
        <v>53</v>
      </c>
      <c r="D36" s="423" t="s">
        <v>52</v>
      </c>
      <c r="E36" s="372">
        <v>8650982.19</v>
      </c>
      <c r="F36" s="483"/>
      <c r="G36" s="484">
        <f t="shared" si="1"/>
        <v>-8650982.19</v>
      </c>
      <c r="H36" s="485">
        <f t="shared" si="2"/>
        <v>0</v>
      </c>
      <c r="I36" s="483">
        <v>0</v>
      </c>
      <c r="J36" s="483"/>
      <c r="K36" s="483"/>
      <c r="L36" s="483"/>
      <c r="M36" s="486">
        <f t="shared" si="3"/>
        <v>0</v>
      </c>
      <c r="N36" s="483"/>
      <c r="O36" s="486" t="e">
        <f t="shared" si="0"/>
        <v>#DIV/0!</v>
      </c>
      <c r="P36" s="487">
        <f t="shared" si="4"/>
        <v>0</v>
      </c>
      <c r="Q36" s="378"/>
    </row>
    <row r="37" spans="1:17" ht="57.75" customHeight="1" outlineLevel="2" collapsed="1">
      <c r="A37" s="376" t="s">
        <v>54</v>
      </c>
      <c r="B37" s="377" t="s">
        <v>311</v>
      </c>
      <c r="C37" s="370" t="s">
        <v>56</v>
      </c>
      <c r="D37" s="423" t="s">
        <v>54</v>
      </c>
      <c r="E37" s="372">
        <v>10254357.32</v>
      </c>
      <c r="F37" s="483">
        <v>5.7</v>
      </c>
      <c r="G37" s="484">
        <f t="shared" si="1"/>
        <v>-10254351.620000001</v>
      </c>
      <c r="H37" s="485">
        <f t="shared" si="2"/>
        <v>5.558612619128041E-07</v>
      </c>
      <c r="I37" s="483">
        <v>9197170</v>
      </c>
      <c r="J37" s="483">
        <v>676056.9</v>
      </c>
      <c r="K37" s="483">
        <v>5.9</v>
      </c>
      <c r="L37" s="471">
        <f>K37-J37</f>
        <v>-676051</v>
      </c>
      <c r="M37" s="486">
        <f t="shared" si="3"/>
        <v>-0.896904098944873</v>
      </c>
      <c r="N37" s="483">
        <f>K37-I37</f>
        <v>-9197164.1</v>
      </c>
      <c r="O37" s="486">
        <f t="shared" si="0"/>
        <v>6.415016793209216E-07</v>
      </c>
      <c r="P37" s="487">
        <f t="shared" si="4"/>
        <v>0.20000000000000018</v>
      </c>
      <c r="Q37" s="369" t="s">
        <v>267</v>
      </c>
    </row>
    <row r="38" spans="1:17" ht="58.5" customHeight="1" hidden="1" outlineLevel="1">
      <c r="A38" s="376" t="s">
        <v>57</v>
      </c>
      <c r="B38" s="377" t="s">
        <v>58</v>
      </c>
      <c r="C38" s="370" t="s">
        <v>59</v>
      </c>
      <c r="D38" s="423" t="s">
        <v>57</v>
      </c>
      <c r="E38" s="373">
        <f>E39+E40+E50+E54</f>
        <v>45903932.26</v>
      </c>
      <c r="F38" s="483">
        <f>F39+F40+F50+F54</f>
        <v>121967.78</v>
      </c>
      <c r="G38" s="484">
        <f t="shared" si="1"/>
        <v>-45781964.48</v>
      </c>
      <c r="H38" s="485">
        <f t="shared" si="2"/>
        <v>0.002657022481411269</v>
      </c>
      <c r="I38" s="483">
        <f>I39+I40+I50+I54</f>
        <v>44278800</v>
      </c>
      <c r="J38" s="483">
        <f>J39+J40+J50+J54</f>
        <v>1291804</v>
      </c>
      <c r="K38" s="483">
        <f>K39+K40+K50+K54</f>
        <v>88940.54000000001</v>
      </c>
      <c r="L38" s="471">
        <f>K38-J38</f>
        <v>-1202863.46</v>
      </c>
      <c r="M38" s="486">
        <f t="shared" si="3"/>
        <v>-0.9671668855394648</v>
      </c>
      <c r="N38" s="483">
        <f>N39+N40+N50+N54</f>
        <v>-44189859.46</v>
      </c>
      <c r="O38" s="486">
        <f t="shared" si="0"/>
        <v>0.0020086483825216585</v>
      </c>
      <c r="P38" s="487">
        <f t="shared" si="4"/>
        <v>-33027.23999999999</v>
      </c>
      <c r="Q38" s="369" t="s">
        <v>267</v>
      </c>
    </row>
    <row r="39" spans="1:17" ht="41.25" customHeight="1" outlineLevel="1">
      <c r="A39" s="376"/>
      <c r="B39" s="377" t="s">
        <v>312</v>
      </c>
      <c r="C39" s="370" t="s">
        <v>61</v>
      </c>
      <c r="D39" s="371" t="s">
        <v>62</v>
      </c>
      <c r="E39" s="372">
        <v>33191065.25</v>
      </c>
      <c r="F39" s="483">
        <v>22.2</v>
      </c>
      <c r="G39" s="488">
        <f>F39-E39</f>
        <v>-33191043.05</v>
      </c>
      <c r="H39" s="486"/>
      <c r="I39" s="483">
        <v>31715800</v>
      </c>
      <c r="J39" s="483">
        <v>728906</v>
      </c>
      <c r="K39" s="483">
        <v>27.7</v>
      </c>
      <c r="L39" s="483">
        <f>K39-J39</f>
        <v>-728878.3</v>
      </c>
      <c r="M39" s="486">
        <f t="shared" si="3"/>
        <v>-0.9555529771156137</v>
      </c>
      <c r="N39" s="483">
        <f>K39-I39</f>
        <v>-31715772.3</v>
      </c>
      <c r="O39" s="486">
        <f t="shared" si="0"/>
        <v>8.733817214133018E-07</v>
      </c>
      <c r="P39" s="483">
        <f>K39-F39</f>
        <v>5.5</v>
      </c>
      <c r="Q39" s="375"/>
    </row>
    <row r="40" spans="1:17" ht="46.5" hidden="1" outlineLevel="2">
      <c r="A40" s="376" t="s">
        <v>63</v>
      </c>
      <c r="B40" s="377" t="s">
        <v>64</v>
      </c>
      <c r="C40" s="370" t="s">
        <v>65</v>
      </c>
      <c r="D40" s="371" t="s">
        <v>63</v>
      </c>
      <c r="E40" s="372">
        <v>108221.73</v>
      </c>
      <c r="F40" s="483">
        <v>58887.42</v>
      </c>
      <c r="G40" s="488">
        <f>F40-E40</f>
        <v>-49334.31</v>
      </c>
      <c r="H40" s="486">
        <f>F40/E40</f>
        <v>0.5441367459196965</v>
      </c>
      <c r="I40" s="483"/>
      <c r="J40" s="483"/>
      <c r="K40" s="483">
        <v>-207705.94</v>
      </c>
      <c r="L40" s="483">
        <f aca="true" t="shared" si="5" ref="L40:L54">K40-J40</f>
        <v>-207705.94</v>
      </c>
      <c r="M40" s="486">
        <f t="shared" si="3"/>
        <v>0</v>
      </c>
      <c r="N40" s="483">
        <f>K40-I40</f>
        <v>-207705.94</v>
      </c>
      <c r="O40" s="486"/>
      <c r="P40" s="483">
        <f>K40-F40</f>
        <v>-266593.36</v>
      </c>
      <c r="Q40" s="375" t="s">
        <v>263</v>
      </c>
    </row>
    <row r="41" spans="1:17" ht="15" customHeight="1" hidden="1" outlineLevel="3">
      <c r="A41" s="376" t="s">
        <v>66</v>
      </c>
      <c r="B41" s="377"/>
      <c r="C41" s="370" t="s">
        <v>23</v>
      </c>
      <c r="D41" s="371" t="s">
        <v>66</v>
      </c>
      <c r="E41" s="372"/>
      <c r="F41" s="483"/>
      <c r="G41" s="488">
        <f aca="true" t="shared" si="6" ref="G41:G54">F41-E41</f>
        <v>0</v>
      </c>
      <c r="H41" s="486" t="e">
        <f aca="true" t="shared" si="7" ref="H41:H54">F41/E41</f>
        <v>#DIV/0!</v>
      </c>
      <c r="I41" s="483">
        <v>57591300</v>
      </c>
      <c r="J41" s="483"/>
      <c r="K41" s="483"/>
      <c r="L41" s="483">
        <f t="shared" si="5"/>
        <v>0</v>
      </c>
      <c r="M41" s="486" t="e">
        <f t="shared" si="3"/>
        <v>#DIV/0!</v>
      </c>
      <c r="N41" s="483">
        <f aca="true" t="shared" si="8" ref="N41:N54">K41-I41</f>
        <v>-57591300</v>
      </c>
      <c r="O41" s="486">
        <f t="shared" si="0"/>
        <v>0</v>
      </c>
      <c r="P41" s="483">
        <f aca="true" t="shared" si="9" ref="P41:P54">K41-F41</f>
        <v>0</v>
      </c>
      <c r="Q41" s="378"/>
    </row>
    <row r="42" spans="1:17" ht="57" customHeight="1" hidden="1" outlineLevel="4">
      <c r="A42" s="376" t="s">
        <v>67</v>
      </c>
      <c r="B42" s="377"/>
      <c r="C42" s="370" t="s">
        <v>68</v>
      </c>
      <c r="D42" s="371" t="s">
        <v>67</v>
      </c>
      <c r="E42" s="372"/>
      <c r="F42" s="483"/>
      <c r="G42" s="488">
        <f t="shared" si="6"/>
        <v>0</v>
      </c>
      <c r="H42" s="486" t="e">
        <f t="shared" si="7"/>
        <v>#DIV/0!</v>
      </c>
      <c r="I42" s="483">
        <v>57591300</v>
      </c>
      <c r="J42" s="483"/>
      <c r="K42" s="483"/>
      <c r="L42" s="483">
        <f t="shared" si="5"/>
        <v>0</v>
      </c>
      <c r="M42" s="486" t="e">
        <f t="shared" si="3"/>
        <v>#DIV/0!</v>
      </c>
      <c r="N42" s="483">
        <f t="shared" si="8"/>
        <v>-57591300</v>
      </c>
      <c r="O42" s="486">
        <f t="shared" si="0"/>
        <v>0</v>
      </c>
      <c r="P42" s="483">
        <f t="shared" si="9"/>
        <v>0</v>
      </c>
      <c r="Q42" s="378"/>
    </row>
    <row r="43" spans="1:17" ht="57" customHeight="1" hidden="1" outlineLevel="5">
      <c r="A43" s="376" t="s">
        <v>67</v>
      </c>
      <c r="B43" s="377"/>
      <c r="C43" s="370" t="s">
        <v>69</v>
      </c>
      <c r="D43" s="371" t="s">
        <v>67</v>
      </c>
      <c r="E43" s="372"/>
      <c r="F43" s="483"/>
      <c r="G43" s="488">
        <f t="shared" si="6"/>
        <v>0</v>
      </c>
      <c r="H43" s="486" t="e">
        <f t="shared" si="7"/>
        <v>#DIV/0!</v>
      </c>
      <c r="I43" s="483">
        <v>57591300</v>
      </c>
      <c r="J43" s="483"/>
      <c r="K43" s="483"/>
      <c r="L43" s="483">
        <f t="shared" si="5"/>
        <v>0</v>
      </c>
      <c r="M43" s="486" t="e">
        <f t="shared" si="3"/>
        <v>#DIV/0!</v>
      </c>
      <c r="N43" s="483">
        <f t="shared" si="8"/>
        <v>-57591300</v>
      </c>
      <c r="O43" s="486">
        <f t="shared" si="0"/>
        <v>0</v>
      </c>
      <c r="P43" s="483">
        <f t="shared" si="9"/>
        <v>0</v>
      </c>
      <c r="Q43" s="378"/>
    </row>
    <row r="44" spans="1:17" ht="57" customHeight="1" hidden="1" outlineLevel="5">
      <c r="A44" s="376" t="s">
        <v>70</v>
      </c>
      <c r="B44" s="377"/>
      <c r="C44" s="370" t="s">
        <v>69</v>
      </c>
      <c r="D44" s="371" t="s">
        <v>70</v>
      </c>
      <c r="E44" s="372"/>
      <c r="F44" s="483"/>
      <c r="G44" s="488">
        <f t="shared" si="6"/>
        <v>0</v>
      </c>
      <c r="H44" s="486" t="e">
        <f t="shared" si="7"/>
        <v>#DIV/0!</v>
      </c>
      <c r="I44" s="483">
        <v>0</v>
      </c>
      <c r="J44" s="483"/>
      <c r="K44" s="483"/>
      <c r="L44" s="483">
        <f t="shared" si="5"/>
        <v>0</v>
      </c>
      <c r="M44" s="486" t="e">
        <f t="shared" si="3"/>
        <v>#DIV/0!</v>
      </c>
      <c r="N44" s="483">
        <f t="shared" si="8"/>
        <v>0</v>
      </c>
      <c r="O44" s="486" t="e">
        <f t="shared" si="0"/>
        <v>#DIV/0!</v>
      </c>
      <c r="P44" s="483">
        <f t="shared" si="9"/>
        <v>0</v>
      </c>
      <c r="Q44" s="378"/>
    </row>
    <row r="45" spans="1:17" ht="57" customHeight="1" hidden="1" outlineLevel="5">
      <c r="A45" s="376" t="s">
        <v>71</v>
      </c>
      <c r="B45" s="377"/>
      <c r="C45" s="370" t="s">
        <v>69</v>
      </c>
      <c r="D45" s="371" t="s">
        <v>71</v>
      </c>
      <c r="E45" s="372"/>
      <c r="F45" s="483"/>
      <c r="G45" s="488">
        <f t="shared" si="6"/>
        <v>0</v>
      </c>
      <c r="H45" s="486" t="e">
        <f t="shared" si="7"/>
        <v>#DIV/0!</v>
      </c>
      <c r="I45" s="483">
        <v>0</v>
      </c>
      <c r="J45" s="483"/>
      <c r="K45" s="483"/>
      <c r="L45" s="483">
        <f t="shared" si="5"/>
        <v>0</v>
      </c>
      <c r="M45" s="486" t="e">
        <f t="shared" si="3"/>
        <v>#DIV/0!</v>
      </c>
      <c r="N45" s="483">
        <f t="shared" si="8"/>
        <v>0</v>
      </c>
      <c r="O45" s="486" t="e">
        <f t="shared" si="0"/>
        <v>#DIV/0!</v>
      </c>
      <c r="P45" s="483">
        <f t="shared" si="9"/>
        <v>0</v>
      </c>
      <c r="Q45" s="378"/>
    </row>
    <row r="46" spans="1:17" ht="57" customHeight="1" hidden="1" outlineLevel="5">
      <c r="A46" s="376" t="s">
        <v>72</v>
      </c>
      <c r="B46" s="377"/>
      <c r="C46" s="370" t="s">
        <v>69</v>
      </c>
      <c r="D46" s="371" t="s">
        <v>72</v>
      </c>
      <c r="E46" s="372"/>
      <c r="F46" s="483"/>
      <c r="G46" s="488">
        <f t="shared" si="6"/>
        <v>0</v>
      </c>
      <c r="H46" s="486" t="e">
        <f t="shared" si="7"/>
        <v>#DIV/0!</v>
      </c>
      <c r="I46" s="483">
        <v>0</v>
      </c>
      <c r="J46" s="483"/>
      <c r="K46" s="483"/>
      <c r="L46" s="483">
        <f t="shared" si="5"/>
        <v>0</v>
      </c>
      <c r="M46" s="486" t="e">
        <f t="shared" si="3"/>
        <v>#DIV/0!</v>
      </c>
      <c r="N46" s="483">
        <f t="shared" si="8"/>
        <v>0</v>
      </c>
      <c r="O46" s="486" t="e">
        <f t="shared" si="0"/>
        <v>#DIV/0!</v>
      </c>
      <c r="P46" s="483">
        <f t="shared" si="9"/>
        <v>0</v>
      </c>
      <c r="Q46" s="378"/>
    </row>
    <row r="47" spans="1:17" ht="15" customHeight="1" hidden="1" outlineLevel="3">
      <c r="A47" s="376" t="s">
        <v>73</v>
      </c>
      <c r="B47" s="377"/>
      <c r="C47" s="370" t="s">
        <v>23</v>
      </c>
      <c r="D47" s="371" t="s">
        <v>73</v>
      </c>
      <c r="E47" s="372"/>
      <c r="F47" s="483"/>
      <c r="G47" s="488">
        <f t="shared" si="6"/>
        <v>0</v>
      </c>
      <c r="H47" s="486" t="e">
        <f t="shared" si="7"/>
        <v>#DIV/0!</v>
      </c>
      <c r="I47" s="483">
        <v>0</v>
      </c>
      <c r="J47" s="483"/>
      <c r="K47" s="483"/>
      <c r="L47" s="483">
        <f t="shared" si="5"/>
        <v>0</v>
      </c>
      <c r="M47" s="486" t="e">
        <f t="shared" si="3"/>
        <v>#DIV/0!</v>
      </c>
      <c r="N47" s="483">
        <f t="shared" si="8"/>
        <v>0</v>
      </c>
      <c r="O47" s="486" t="e">
        <f t="shared" si="0"/>
        <v>#DIV/0!</v>
      </c>
      <c r="P47" s="483">
        <f t="shared" si="9"/>
        <v>0</v>
      </c>
      <c r="Q47" s="378"/>
    </row>
    <row r="48" spans="1:17" ht="99.75" customHeight="1" hidden="1" outlineLevel="4">
      <c r="A48" s="376" t="s">
        <v>74</v>
      </c>
      <c r="B48" s="377"/>
      <c r="C48" s="370" t="s">
        <v>75</v>
      </c>
      <c r="D48" s="371" t="s">
        <v>74</v>
      </c>
      <c r="E48" s="372"/>
      <c r="F48" s="483"/>
      <c r="G48" s="488">
        <f t="shared" si="6"/>
        <v>0</v>
      </c>
      <c r="H48" s="486" t="e">
        <f t="shared" si="7"/>
        <v>#DIV/0!</v>
      </c>
      <c r="I48" s="483">
        <v>0</v>
      </c>
      <c r="J48" s="483"/>
      <c r="K48" s="483"/>
      <c r="L48" s="483">
        <f t="shared" si="5"/>
        <v>0</v>
      </c>
      <c r="M48" s="486" t="e">
        <f t="shared" si="3"/>
        <v>#DIV/0!</v>
      </c>
      <c r="N48" s="483">
        <f t="shared" si="8"/>
        <v>0</v>
      </c>
      <c r="O48" s="486" t="e">
        <f t="shared" si="0"/>
        <v>#DIV/0!</v>
      </c>
      <c r="P48" s="483">
        <f t="shared" si="9"/>
        <v>0</v>
      </c>
      <c r="Q48" s="378"/>
    </row>
    <row r="49" spans="1:17" ht="99.75" customHeight="1" hidden="1" outlineLevel="5">
      <c r="A49" s="376" t="s">
        <v>76</v>
      </c>
      <c r="B49" s="377"/>
      <c r="C49" s="370" t="s">
        <v>77</v>
      </c>
      <c r="D49" s="371" t="s">
        <v>76</v>
      </c>
      <c r="E49" s="372"/>
      <c r="F49" s="483"/>
      <c r="G49" s="488">
        <f t="shared" si="6"/>
        <v>0</v>
      </c>
      <c r="H49" s="486" t="e">
        <f t="shared" si="7"/>
        <v>#DIV/0!</v>
      </c>
      <c r="I49" s="483">
        <v>0</v>
      </c>
      <c r="J49" s="483"/>
      <c r="K49" s="483"/>
      <c r="L49" s="483">
        <f t="shared" si="5"/>
        <v>0</v>
      </c>
      <c r="M49" s="486" t="e">
        <f t="shared" si="3"/>
        <v>#DIV/0!</v>
      </c>
      <c r="N49" s="483">
        <f t="shared" si="8"/>
        <v>0</v>
      </c>
      <c r="O49" s="486" t="e">
        <f t="shared" si="0"/>
        <v>#DIV/0!</v>
      </c>
      <c r="P49" s="483">
        <f t="shared" si="9"/>
        <v>0</v>
      </c>
      <c r="Q49" s="378"/>
    </row>
    <row r="50" spans="1:17" ht="18.75" customHeight="1" hidden="1" outlineLevel="2" collapsed="1">
      <c r="A50" s="376" t="s">
        <v>78</v>
      </c>
      <c r="B50" s="377" t="s">
        <v>79</v>
      </c>
      <c r="C50" s="370" t="s">
        <v>80</v>
      </c>
      <c r="D50" s="371" t="s">
        <v>78</v>
      </c>
      <c r="E50" s="373">
        <v>63052.38</v>
      </c>
      <c r="F50" s="488">
        <v>63051.56</v>
      </c>
      <c r="G50" s="488">
        <f t="shared" si="6"/>
        <v>-0.819999999999709</v>
      </c>
      <c r="H50" s="486">
        <f t="shared" si="7"/>
        <v>0.9999869949397628</v>
      </c>
      <c r="I50" s="483">
        <v>63000</v>
      </c>
      <c r="J50" s="483"/>
      <c r="K50" s="488">
        <v>296614.88</v>
      </c>
      <c r="L50" s="483">
        <f t="shared" si="5"/>
        <v>296614.88</v>
      </c>
      <c r="M50" s="486">
        <f t="shared" si="3"/>
        <v>-76829.2682927102</v>
      </c>
      <c r="N50" s="483">
        <f t="shared" si="8"/>
        <v>233614.88</v>
      </c>
      <c r="O50" s="486">
        <f t="shared" si="0"/>
        <v>4.708172698412699</v>
      </c>
      <c r="P50" s="483">
        <f t="shared" si="9"/>
        <v>233563.32</v>
      </c>
      <c r="Q50" s="378"/>
    </row>
    <row r="51" spans="1:17" ht="15" customHeight="1" hidden="1" outlineLevel="3">
      <c r="A51" s="376" t="s">
        <v>81</v>
      </c>
      <c r="B51" s="377"/>
      <c r="C51" s="370" t="s">
        <v>23</v>
      </c>
      <c r="D51" s="371" t="s">
        <v>81</v>
      </c>
      <c r="E51" s="372"/>
      <c r="F51" s="483"/>
      <c r="G51" s="488">
        <f t="shared" si="6"/>
        <v>0</v>
      </c>
      <c r="H51" s="486" t="e">
        <f t="shared" si="7"/>
        <v>#DIV/0!</v>
      </c>
      <c r="I51" s="483"/>
      <c r="J51" s="483"/>
      <c r="K51" s="483"/>
      <c r="L51" s="483">
        <f t="shared" si="5"/>
        <v>0</v>
      </c>
      <c r="M51" s="486" t="e">
        <f t="shared" si="3"/>
        <v>#DIV/0!</v>
      </c>
      <c r="N51" s="483">
        <f t="shared" si="8"/>
        <v>0</v>
      </c>
      <c r="O51" s="486" t="e">
        <f t="shared" si="0"/>
        <v>#DIV/0!</v>
      </c>
      <c r="P51" s="483">
        <f t="shared" si="9"/>
        <v>0</v>
      </c>
      <c r="Q51" s="378"/>
    </row>
    <row r="52" spans="1:17" ht="42.75" customHeight="1" hidden="1" outlineLevel="4">
      <c r="A52" s="376" t="s">
        <v>82</v>
      </c>
      <c r="B52" s="377"/>
      <c r="C52" s="370" t="s">
        <v>83</v>
      </c>
      <c r="D52" s="371" t="s">
        <v>82</v>
      </c>
      <c r="E52" s="372"/>
      <c r="F52" s="483"/>
      <c r="G52" s="488">
        <f t="shared" si="6"/>
        <v>0</v>
      </c>
      <c r="H52" s="486" t="e">
        <f t="shared" si="7"/>
        <v>#DIV/0!</v>
      </c>
      <c r="I52" s="483"/>
      <c r="J52" s="483"/>
      <c r="K52" s="483"/>
      <c r="L52" s="483">
        <f t="shared" si="5"/>
        <v>0</v>
      </c>
      <c r="M52" s="486" t="e">
        <f t="shared" si="3"/>
        <v>#DIV/0!</v>
      </c>
      <c r="N52" s="483">
        <f t="shared" si="8"/>
        <v>0</v>
      </c>
      <c r="O52" s="486" t="e">
        <f t="shared" si="0"/>
        <v>#DIV/0!</v>
      </c>
      <c r="P52" s="483">
        <f t="shared" si="9"/>
        <v>0</v>
      </c>
      <c r="Q52" s="378"/>
    </row>
    <row r="53" spans="1:17" ht="42.75" customHeight="1" hidden="1" outlineLevel="5">
      <c r="A53" s="376" t="s">
        <v>82</v>
      </c>
      <c r="B53" s="377"/>
      <c r="C53" s="370" t="s">
        <v>84</v>
      </c>
      <c r="D53" s="371" t="s">
        <v>82</v>
      </c>
      <c r="E53" s="372"/>
      <c r="F53" s="483"/>
      <c r="G53" s="488">
        <f t="shared" si="6"/>
        <v>0</v>
      </c>
      <c r="H53" s="486" t="e">
        <f t="shared" si="7"/>
        <v>#DIV/0!</v>
      </c>
      <c r="I53" s="483"/>
      <c r="J53" s="483"/>
      <c r="K53" s="483"/>
      <c r="L53" s="483">
        <f t="shared" si="5"/>
        <v>0</v>
      </c>
      <c r="M53" s="486" t="e">
        <f t="shared" si="3"/>
        <v>#DIV/0!</v>
      </c>
      <c r="N53" s="483">
        <f t="shared" si="8"/>
        <v>0</v>
      </c>
      <c r="O53" s="486" t="e">
        <f t="shared" si="0"/>
        <v>#DIV/0!</v>
      </c>
      <c r="P53" s="483">
        <f t="shared" si="9"/>
        <v>0</v>
      </c>
      <c r="Q53" s="378"/>
    </row>
    <row r="54" spans="1:17" ht="30" customHeight="1" outlineLevel="2" collapsed="1">
      <c r="A54" s="376" t="s">
        <v>85</v>
      </c>
      <c r="B54" s="377" t="s">
        <v>313</v>
      </c>
      <c r="C54" s="370" t="s">
        <v>87</v>
      </c>
      <c r="D54" s="371" t="s">
        <v>85</v>
      </c>
      <c r="E54" s="372">
        <v>12541592.9</v>
      </c>
      <c r="F54" s="483">
        <v>6.6</v>
      </c>
      <c r="G54" s="488">
        <f t="shared" si="6"/>
        <v>-12541586.3</v>
      </c>
      <c r="H54" s="486">
        <f t="shared" si="7"/>
        <v>5.262489424289955E-07</v>
      </c>
      <c r="I54" s="483">
        <v>12500000</v>
      </c>
      <c r="J54" s="483">
        <v>562898</v>
      </c>
      <c r="K54" s="483">
        <v>3.9</v>
      </c>
      <c r="L54" s="483">
        <f t="shared" si="5"/>
        <v>-562894.1</v>
      </c>
      <c r="M54" s="486">
        <f t="shared" si="3"/>
        <v>-0.996684127589187</v>
      </c>
      <c r="N54" s="483">
        <f t="shared" si="8"/>
        <v>-12499996.1</v>
      </c>
      <c r="O54" s="486">
        <f t="shared" si="0"/>
        <v>3.12E-07</v>
      </c>
      <c r="P54" s="483">
        <f t="shared" si="9"/>
        <v>-2.6999999999999997</v>
      </c>
      <c r="Q54" s="375"/>
    </row>
    <row r="55" spans="1:17" ht="15" customHeight="1" hidden="1" outlineLevel="3">
      <c r="A55" s="376" t="s">
        <v>88</v>
      </c>
      <c r="B55" s="377"/>
      <c r="C55" s="370" t="s">
        <v>23</v>
      </c>
      <c r="D55" s="371" t="s">
        <v>88</v>
      </c>
      <c r="E55" s="372">
        <v>401120</v>
      </c>
      <c r="F55" s="483">
        <v>401120</v>
      </c>
      <c r="G55" s="488"/>
      <c r="H55" s="486" t="e">
        <f>E55/#REF!</f>
        <v>#REF!</v>
      </c>
      <c r="I55" s="483">
        <v>8300000</v>
      </c>
      <c r="J55" s="483"/>
      <c r="K55" s="483">
        <v>401120</v>
      </c>
      <c r="L55" s="483"/>
      <c r="M55" s="486" t="e">
        <f t="shared" si="3"/>
        <v>#DIV/0!</v>
      </c>
      <c r="N55" s="483"/>
      <c r="O55" s="486">
        <f t="shared" si="0"/>
        <v>0.04832771084337349</v>
      </c>
      <c r="P55" s="483" t="e">
        <f>E55-#REF!</f>
        <v>#REF!</v>
      </c>
      <c r="Q55" s="378"/>
    </row>
    <row r="56" spans="1:17" ht="85.5" customHeight="1" hidden="1" outlineLevel="4">
      <c r="A56" s="376" t="s">
        <v>89</v>
      </c>
      <c r="B56" s="377"/>
      <c r="C56" s="370" t="s">
        <v>90</v>
      </c>
      <c r="D56" s="371" t="s">
        <v>89</v>
      </c>
      <c r="E56" s="372">
        <v>0</v>
      </c>
      <c r="F56" s="483">
        <v>401120</v>
      </c>
      <c r="G56" s="488"/>
      <c r="H56" s="486" t="e">
        <f>E56/#REF!</f>
        <v>#REF!</v>
      </c>
      <c r="I56" s="483">
        <v>8300000</v>
      </c>
      <c r="J56" s="483"/>
      <c r="K56" s="483">
        <v>401120</v>
      </c>
      <c r="L56" s="483"/>
      <c r="M56" s="486" t="e">
        <f t="shared" si="3"/>
        <v>#DIV/0!</v>
      </c>
      <c r="N56" s="483"/>
      <c r="O56" s="486">
        <f t="shared" si="0"/>
        <v>0.04832771084337349</v>
      </c>
      <c r="P56" s="483" t="e">
        <f>E56-#REF!</f>
        <v>#REF!</v>
      </c>
      <c r="Q56" s="378"/>
    </row>
    <row r="57" spans="1:17" ht="99.75" customHeight="1" hidden="1" outlineLevel="5">
      <c r="A57" s="376" t="s">
        <v>89</v>
      </c>
      <c r="B57" s="377"/>
      <c r="C57" s="370" t="s">
        <v>91</v>
      </c>
      <c r="D57" s="371" t="s">
        <v>89</v>
      </c>
      <c r="E57" s="372">
        <v>401106.8</v>
      </c>
      <c r="F57" s="483">
        <v>0</v>
      </c>
      <c r="G57" s="488"/>
      <c r="H57" s="486" t="e">
        <f>E57/#REF!</f>
        <v>#REF!</v>
      </c>
      <c r="I57" s="483">
        <v>8300000</v>
      </c>
      <c r="J57" s="483"/>
      <c r="K57" s="483">
        <v>0</v>
      </c>
      <c r="L57" s="483"/>
      <c r="M57" s="486" t="e">
        <f t="shared" si="3"/>
        <v>#DIV/0!</v>
      </c>
      <c r="N57" s="483"/>
      <c r="O57" s="486">
        <f t="shared" si="0"/>
        <v>0</v>
      </c>
      <c r="P57" s="483" t="e">
        <f>E57-#REF!</f>
        <v>#REF!</v>
      </c>
      <c r="Q57" s="378"/>
    </row>
    <row r="58" spans="1:17" ht="99.75" customHeight="1" hidden="1" outlineLevel="5">
      <c r="A58" s="376" t="s">
        <v>92</v>
      </c>
      <c r="B58" s="377"/>
      <c r="C58" s="370" t="s">
        <v>91</v>
      </c>
      <c r="D58" s="371" t="s">
        <v>92</v>
      </c>
      <c r="E58" s="372">
        <v>13.2</v>
      </c>
      <c r="F58" s="483">
        <v>401106.8</v>
      </c>
      <c r="G58" s="488"/>
      <c r="H58" s="486" t="e">
        <f>E58/#REF!</f>
        <v>#REF!</v>
      </c>
      <c r="I58" s="483">
        <v>0</v>
      </c>
      <c r="J58" s="483"/>
      <c r="K58" s="483">
        <v>401106.8</v>
      </c>
      <c r="L58" s="483"/>
      <c r="M58" s="486" t="e">
        <f t="shared" si="3"/>
        <v>#DIV/0!</v>
      </c>
      <c r="N58" s="483"/>
      <c r="O58" s="486" t="e">
        <f t="shared" si="0"/>
        <v>#DIV/0!</v>
      </c>
      <c r="P58" s="483" t="e">
        <f>E58-#REF!</f>
        <v>#REF!</v>
      </c>
      <c r="Q58" s="378"/>
    </row>
    <row r="59" spans="1:17" ht="99.75" customHeight="1" hidden="1" outlineLevel="5">
      <c r="A59" s="376" t="s">
        <v>93</v>
      </c>
      <c r="B59" s="377"/>
      <c r="C59" s="370" t="s">
        <v>91</v>
      </c>
      <c r="D59" s="371" t="s">
        <v>93</v>
      </c>
      <c r="E59" s="372">
        <f>E60+E61+E62</f>
        <v>172244710.82</v>
      </c>
      <c r="F59" s="483">
        <v>13.2</v>
      </c>
      <c r="G59" s="488"/>
      <c r="H59" s="486" t="e">
        <f>E59/#REF!</f>
        <v>#REF!</v>
      </c>
      <c r="I59" s="483">
        <v>0</v>
      </c>
      <c r="J59" s="483"/>
      <c r="K59" s="483">
        <v>13.2</v>
      </c>
      <c r="L59" s="483"/>
      <c r="M59" s="486" t="e">
        <f t="shared" si="3"/>
        <v>#DIV/0!</v>
      </c>
      <c r="N59" s="483"/>
      <c r="O59" s="486" t="e">
        <f t="shared" si="0"/>
        <v>#DIV/0!</v>
      </c>
      <c r="P59" s="483" t="e">
        <f>E59-#REF!</f>
        <v>#REF!</v>
      </c>
      <c r="Q59" s="378"/>
    </row>
    <row r="60" spans="1:17" ht="22.5" customHeight="1" outlineLevel="1" collapsed="1">
      <c r="A60" s="376" t="s">
        <v>94</v>
      </c>
      <c r="B60" s="377" t="s">
        <v>314</v>
      </c>
      <c r="C60" s="370" t="s">
        <v>96</v>
      </c>
      <c r="D60" s="371" t="s">
        <v>94</v>
      </c>
      <c r="E60" s="372">
        <f>E61+E62+E63</f>
        <v>95317580.9</v>
      </c>
      <c r="F60" s="483">
        <v>45.3</v>
      </c>
      <c r="G60" s="488">
        <f>F60-E60</f>
        <v>-95317535.60000001</v>
      </c>
      <c r="H60" s="486">
        <f aca="true" t="shared" si="10" ref="H60:H70">F60/E60</f>
        <v>4.7525335381229757E-07</v>
      </c>
      <c r="I60" s="483">
        <f>I61+I62+I63</f>
        <v>65255457.63</v>
      </c>
      <c r="J60" s="483">
        <f>J61+J62+J63</f>
        <v>3543302</v>
      </c>
      <c r="K60" s="483">
        <v>33.7</v>
      </c>
      <c r="L60" s="483">
        <f>K60-J60</f>
        <v>-3543268.3</v>
      </c>
      <c r="M60" s="486">
        <f t="shared" si="3"/>
        <v>-0.6846112545738121</v>
      </c>
      <c r="N60" s="483">
        <f>N61+N62+N63</f>
        <v>-60569213.019999996</v>
      </c>
      <c r="O60" s="486">
        <f t="shared" si="0"/>
        <v>5.164319004715254E-07</v>
      </c>
      <c r="P60" s="483">
        <f aca="true" t="shared" si="11" ref="P60:P70">K60-F60</f>
        <v>-11.599999999999994</v>
      </c>
      <c r="Q60" s="369" t="s">
        <v>267</v>
      </c>
    </row>
    <row r="61" spans="1:17" ht="30.75" hidden="1" outlineLevel="2">
      <c r="A61" s="376" t="s">
        <v>97</v>
      </c>
      <c r="B61" s="377" t="s">
        <v>98</v>
      </c>
      <c r="C61" s="370" t="s">
        <v>99</v>
      </c>
      <c r="D61" s="371" t="s">
        <v>97</v>
      </c>
      <c r="E61" s="372">
        <v>14947482.35</v>
      </c>
      <c r="F61" s="483">
        <v>1612144.94</v>
      </c>
      <c r="G61" s="488">
        <f>F61-E61</f>
        <v>-13335337.41</v>
      </c>
      <c r="H61" s="486">
        <f t="shared" si="10"/>
        <v>0.10785394504914736</v>
      </c>
      <c r="I61" s="483">
        <v>11900000</v>
      </c>
      <c r="J61" s="483">
        <v>80000</v>
      </c>
      <c r="K61" s="483">
        <v>2217023.99</v>
      </c>
      <c r="L61" s="483">
        <f>K61-J61</f>
        <v>2137023.99</v>
      </c>
      <c r="M61" s="486">
        <f t="shared" si="3"/>
        <v>-0.8923658722782928</v>
      </c>
      <c r="N61" s="483">
        <f>K61-I61</f>
        <v>-9682976.01</v>
      </c>
      <c r="O61" s="486">
        <f t="shared" si="0"/>
        <v>0.18630453697478994</v>
      </c>
      <c r="P61" s="483">
        <f t="shared" si="11"/>
        <v>604879.0500000003</v>
      </c>
      <c r="Q61" s="375"/>
    </row>
    <row r="62" spans="1:17" s="462" customFormat="1" ht="49.5" customHeight="1" outlineLevel="4">
      <c r="A62" s="456" t="s">
        <v>100</v>
      </c>
      <c r="B62" s="457"/>
      <c r="C62" s="458" t="s">
        <v>299</v>
      </c>
      <c r="D62" s="459" t="s">
        <v>100</v>
      </c>
      <c r="E62" s="460">
        <v>61979647.57</v>
      </c>
      <c r="F62" s="489">
        <v>42</v>
      </c>
      <c r="G62" s="490">
        <f>F62-E62</f>
        <v>-61979605.57</v>
      </c>
      <c r="H62" s="491">
        <f t="shared" si="10"/>
        <v>6.776418009244902E-07</v>
      </c>
      <c r="I62" s="489">
        <v>36355457.63</v>
      </c>
      <c r="J62" s="489">
        <v>3011857</v>
      </c>
      <c r="K62" s="489">
        <v>29</v>
      </c>
      <c r="L62" s="489">
        <f>K62-J62</f>
        <v>-3011828</v>
      </c>
      <c r="M62" s="491">
        <f t="shared" si="3"/>
        <v>-0.5865712970525444</v>
      </c>
      <c r="N62" s="489">
        <f>K62-I62</f>
        <v>-36355428.63</v>
      </c>
      <c r="O62" s="491">
        <f t="shared" si="0"/>
        <v>7.976794102041399E-07</v>
      </c>
      <c r="P62" s="489">
        <f>K62-F62</f>
        <v>-13</v>
      </c>
      <c r="Q62" s="461" t="s">
        <v>315</v>
      </c>
    </row>
    <row r="63" spans="1:17" ht="56.25" customHeight="1" hidden="1" outlineLevel="4">
      <c r="A63" s="376" t="s">
        <v>103</v>
      </c>
      <c r="B63" s="377" t="s">
        <v>104</v>
      </c>
      <c r="C63" s="370" t="s">
        <v>105</v>
      </c>
      <c r="D63" s="371" t="s">
        <v>103</v>
      </c>
      <c r="E63" s="372">
        <v>18390450.98</v>
      </c>
      <c r="F63" s="483">
        <v>1641709.81</v>
      </c>
      <c r="G63" s="488">
        <f>F63-E63</f>
        <v>-16748741.17</v>
      </c>
      <c r="H63" s="486">
        <f t="shared" si="10"/>
        <v>0.08926968739295157</v>
      </c>
      <c r="I63" s="483">
        <v>17000000</v>
      </c>
      <c r="J63" s="483">
        <v>451445</v>
      </c>
      <c r="K63" s="483">
        <v>2469191.62</v>
      </c>
      <c r="L63" s="483">
        <f>K63-J63</f>
        <v>2017746.62</v>
      </c>
      <c r="M63" s="486">
        <f t="shared" si="3"/>
        <v>-1.0150016545989766</v>
      </c>
      <c r="N63" s="483">
        <f>K63-I63</f>
        <v>-14530808.379999999</v>
      </c>
      <c r="O63" s="486">
        <f t="shared" si="0"/>
        <v>0.14524656588235293</v>
      </c>
      <c r="P63" s="483">
        <f t="shared" si="11"/>
        <v>827481.81</v>
      </c>
      <c r="Q63" s="375"/>
    </row>
    <row r="64" spans="1:17" ht="32.25" customHeight="1" outlineLevel="1" collapsed="1">
      <c r="A64" s="376" t="s">
        <v>106</v>
      </c>
      <c r="B64" s="377" t="s">
        <v>316</v>
      </c>
      <c r="C64" s="370" t="s">
        <v>108</v>
      </c>
      <c r="D64" s="371" t="s">
        <v>106</v>
      </c>
      <c r="E64" s="372">
        <f>E65+E70</f>
        <v>10536108.33</v>
      </c>
      <c r="F64" s="483">
        <v>5.9</v>
      </c>
      <c r="G64" s="488">
        <f>G65+G70</f>
        <v>-4652942.34</v>
      </c>
      <c r="H64" s="486">
        <f t="shared" si="10"/>
        <v>5.599790563277172E-07</v>
      </c>
      <c r="I64" s="483">
        <f>I65+I70</f>
        <v>11535000</v>
      </c>
      <c r="J64" s="483">
        <f>J65+J70</f>
        <v>605206</v>
      </c>
      <c r="K64" s="483">
        <v>6.3</v>
      </c>
      <c r="L64" s="483">
        <f>K64-J64</f>
        <v>-605199.7</v>
      </c>
      <c r="M64" s="486">
        <f t="shared" si="3"/>
        <v>-2.4790764976468633</v>
      </c>
      <c r="N64" s="483">
        <f>N65+N70</f>
        <v>-5205401.35</v>
      </c>
      <c r="O64" s="486">
        <f t="shared" si="0"/>
        <v>5.461638491547464E-07</v>
      </c>
      <c r="P64" s="483">
        <f t="shared" si="11"/>
        <v>0.39999999999999947</v>
      </c>
      <c r="Q64" s="378"/>
    </row>
    <row r="65" spans="1:17" ht="91.5" customHeight="1" hidden="1" outlineLevel="2">
      <c r="A65" s="376" t="s">
        <v>109</v>
      </c>
      <c r="B65" s="377" t="s">
        <v>110</v>
      </c>
      <c r="C65" s="370" t="s">
        <v>111</v>
      </c>
      <c r="D65" s="371" t="s">
        <v>109</v>
      </c>
      <c r="E65" s="372">
        <v>10431108.33</v>
      </c>
      <c r="F65" s="483">
        <v>5808165.99</v>
      </c>
      <c r="G65" s="488">
        <f aca="true" t="shared" si="12" ref="G65:G70">F65-E65</f>
        <v>-4622942.34</v>
      </c>
      <c r="H65" s="486">
        <f t="shared" si="10"/>
        <v>0.5568119711014448</v>
      </c>
      <c r="I65" s="483">
        <v>11500000</v>
      </c>
      <c r="J65" s="483">
        <v>605206</v>
      </c>
      <c r="K65" s="483">
        <v>6274598.65</v>
      </c>
      <c r="L65" s="483">
        <f>K65-J65</f>
        <v>5669392.65</v>
      </c>
      <c r="M65" s="486">
        <f t="shared" si="3"/>
        <v>-2.487593215363357</v>
      </c>
      <c r="N65" s="483">
        <f aca="true" t="shared" si="13" ref="N65:N70">K65-I65</f>
        <v>-5225401.35</v>
      </c>
      <c r="O65" s="486">
        <f t="shared" si="0"/>
        <v>0.5456172739130435</v>
      </c>
      <c r="P65" s="483">
        <f t="shared" si="11"/>
        <v>466432.66000000015</v>
      </c>
      <c r="Q65" s="378"/>
    </row>
    <row r="66" spans="1:17" ht="15" customHeight="1" hidden="1" outlineLevel="3">
      <c r="A66" s="376" t="s">
        <v>112</v>
      </c>
      <c r="B66" s="377"/>
      <c r="C66" s="370" t="s">
        <v>23</v>
      </c>
      <c r="D66" s="371" t="s">
        <v>112</v>
      </c>
      <c r="E66" s="372"/>
      <c r="F66" s="483"/>
      <c r="G66" s="488">
        <f t="shared" si="12"/>
        <v>0</v>
      </c>
      <c r="H66" s="486" t="e">
        <f t="shared" si="10"/>
        <v>#DIV/0!</v>
      </c>
      <c r="I66" s="483"/>
      <c r="J66" s="483"/>
      <c r="K66" s="483"/>
      <c r="L66" s="483">
        <f>I66-G66</f>
        <v>0</v>
      </c>
      <c r="M66" s="486" t="e">
        <f t="shared" si="3"/>
        <v>#DIV/0!</v>
      </c>
      <c r="N66" s="483">
        <f t="shared" si="13"/>
        <v>0</v>
      </c>
      <c r="O66" s="486" t="e">
        <f t="shared" si="0"/>
        <v>#DIV/0!</v>
      </c>
      <c r="P66" s="483">
        <f t="shared" si="11"/>
        <v>0</v>
      </c>
      <c r="Q66" s="378"/>
    </row>
    <row r="67" spans="1:17" ht="114" customHeight="1" hidden="1" outlineLevel="4">
      <c r="A67" s="376" t="s">
        <v>113</v>
      </c>
      <c r="B67" s="377"/>
      <c r="C67" s="370" t="s">
        <v>114</v>
      </c>
      <c r="D67" s="371" t="s">
        <v>113</v>
      </c>
      <c r="E67" s="372"/>
      <c r="F67" s="483"/>
      <c r="G67" s="488">
        <f t="shared" si="12"/>
        <v>0</v>
      </c>
      <c r="H67" s="486" t="e">
        <f t="shared" si="10"/>
        <v>#DIV/0!</v>
      </c>
      <c r="I67" s="483"/>
      <c r="J67" s="483"/>
      <c r="K67" s="483"/>
      <c r="L67" s="483">
        <f>I67-G67</f>
        <v>0</v>
      </c>
      <c r="M67" s="486" t="e">
        <f t="shared" si="3"/>
        <v>#DIV/0!</v>
      </c>
      <c r="N67" s="483">
        <f t="shared" si="13"/>
        <v>0</v>
      </c>
      <c r="O67" s="486" t="e">
        <f t="shared" si="0"/>
        <v>#DIV/0!</v>
      </c>
      <c r="P67" s="483">
        <f t="shared" si="11"/>
        <v>0</v>
      </c>
      <c r="Q67" s="378"/>
    </row>
    <row r="68" spans="1:17" ht="128.25" customHeight="1" hidden="1" outlineLevel="5">
      <c r="A68" s="376" t="s">
        <v>113</v>
      </c>
      <c r="B68" s="377"/>
      <c r="C68" s="370" t="s">
        <v>115</v>
      </c>
      <c r="D68" s="371" t="s">
        <v>113</v>
      </c>
      <c r="E68" s="372"/>
      <c r="F68" s="483"/>
      <c r="G68" s="488">
        <f t="shared" si="12"/>
        <v>0</v>
      </c>
      <c r="H68" s="486" t="e">
        <f t="shared" si="10"/>
        <v>#DIV/0!</v>
      </c>
      <c r="I68" s="483"/>
      <c r="J68" s="483"/>
      <c r="K68" s="483"/>
      <c r="L68" s="483">
        <f>I68-G68</f>
        <v>0</v>
      </c>
      <c r="M68" s="486" t="e">
        <f t="shared" si="3"/>
        <v>#DIV/0!</v>
      </c>
      <c r="N68" s="483">
        <f t="shared" si="13"/>
        <v>0</v>
      </c>
      <c r="O68" s="486" t="e">
        <f t="shared" si="0"/>
        <v>#DIV/0!</v>
      </c>
      <c r="P68" s="483">
        <f t="shared" si="11"/>
        <v>0</v>
      </c>
      <c r="Q68" s="378"/>
    </row>
    <row r="69" spans="1:17" ht="171" customHeight="1" hidden="1" outlineLevel="5">
      <c r="A69" s="376" t="s">
        <v>116</v>
      </c>
      <c r="B69" s="377"/>
      <c r="C69" s="370" t="s">
        <v>117</v>
      </c>
      <c r="D69" s="371" t="s">
        <v>116</v>
      </c>
      <c r="E69" s="372"/>
      <c r="F69" s="483"/>
      <c r="G69" s="488">
        <f t="shared" si="12"/>
        <v>0</v>
      </c>
      <c r="H69" s="486" t="e">
        <f t="shared" si="10"/>
        <v>#DIV/0!</v>
      </c>
      <c r="I69" s="483"/>
      <c r="J69" s="483"/>
      <c r="K69" s="483"/>
      <c r="L69" s="483">
        <f>I69-G69</f>
        <v>0</v>
      </c>
      <c r="M69" s="486" t="e">
        <f t="shared" si="3"/>
        <v>#DIV/0!</v>
      </c>
      <c r="N69" s="483">
        <f t="shared" si="13"/>
        <v>0</v>
      </c>
      <c r="O69" s="486" t="e">
        <f t="shared" si="0"/>
        <v>#DIV/0!</v>
      </c>
      <c r="P69" s="483">
        <f t="shared" si="11"/>
        <v>0</v>
      </c>
      <c r="Q69" s="378"/>
    </row>
    <row r="70" spans="1:17" ht="78.75" customHeight="1" hidden="1" outlineLevel="2" collapsed="1">
      <c r="A70" s="376" t="s">
        <v>118</v>
      </c>
      <c r="B70" s="377" t="s">
        <v>119</v>
      </c>
      <c r="C70" s="370" t="s">
        <v>120</v>
      </c>
      <c r="D70" s="371" t="s">
        <v>118</v>
      </c>
      <c r="E70" s="373">
        <v>105000</v>
      </c>
      <c r="F70" s="488">
        <v>75000</v>
      </c>
      <c r="G70" s="488">
        <f t="shared" si="12"/>
        <v>-30000</v>
      </c>
      <c r="H70" s="486">
        <f t="shared" si="10"/>
        <v>0.7142857142857143</v>
      </c>
      <c r="I70" s="483">
        <v>35000</v>
      </c>
      <c r="J70" s="483"/>
      <c r="K70" s="488">
        <v>55000</v>
      </c>
      <c r="L70" s="483">
        <f>K70-J70</f>
        <v>55000</v>
      </c>
      <c r="M70" s="486">
        <f t="shared" si="3"/>
        <v>-1.1666666666666667</v>
      </c>
      <c r="N70" s="483">
        <f t="shared" si="13"/>
        <v>20000</v>
      </c>
      <c r="O70" s="486">
        <f t="shared" si="0"/>
        <v>1.5714285714285714</v>
      </c>
      <c r="P70" s="483">
        <f t="shared" si="11"/>
        <v>-20000</v>
      </c>
      <c r="Q70" s="375"/>
    </row>
    <row r="71" spans="1:17" ht="15" customHeight="1" hidden="1" outlineLevel="3">
      <c r="A71" s="376" t="s">
        <v>121</v>
      </c>
      <c r="B71" s="377"/>
      <c r="C71" s="370" t="s">
        <v>23</v>
      </c>
      <c r="D71" s="371" t="s">
        <v>121</v>
      </c>
      <c r="E71" s="372">
        <v>0</v>
      </c>
      <c r="F71" s="483">
        <v>0</v>
      </c>
      <c r="G71" s="488"/>
      <c r="H71" s="486" t="e">
        <f>E71/#REF!</f>
        <v>#REF!</v>
      </c>
      <c r="I71" s="483">
        <v>60000</v>
      </c>
      <c r="J71" s="483"/>
      <c r="K71" s="483">
        <v>0</v>
      </c>
      <c r="L71" s="483"/>
      <c r="M71" s="486" t="e">
        <f t="shared" si="3"/>
        <v>#DIV/0!</v>
      </c>
      <c r="N71" s="483"/>
      <c r="O71" s="486">
        <f t="shared" si="0"/>
        <v>0</v>
      </c>
      <c r="P71" s="483" t="e">
        <f>E71-#REF!</f>
        <v>#REF!</v>
      </c>
      <c r="Q71" s="378"/>
    </row>
    <row r="72" spans="1:17" ht="57" customHeight="1" hidden="1" outlineLevel="4">
      <c r="A72" s="376" t="s">
        <v>122</v>
      </c>
      <c r="B72" s="377"/>
      <c r="C72" s="370" t="s">
        <v>123</v>
      </c>
      <c r="D72" s="371" t="s">
        <v>122</v>
      </c>
      <c r="E72" s="372">
        <v>0</v>
      </c>
      <c r="F72" s="483">
        <v>0</v>
      </c>
      <c r="G72" s="488"/>
      <c r="H72" s="486" t="e">
        <f>E72/#REF!</f>
        <v>#REF!</v>
      </c>
      <c r="I72" s="483">
        <v>60000</v>
      </c>
      <c r="J72" s="483"/>
      <c r="K72" s="483">
        <v>0</v>
      </c>
      <c r="L72" s="483"/>
      <c r="M72" s="486" t="e">
        <f t="shared" si="3"/>
        <v>#DIV/0!</v>
      </c>
      <c r="N72" s="483"/>
      <c r="O72" s="486">
        <f t="shared" si="0"/>
        <v>0</v>
      </c>
      <c r="P72" s="483" t="e">
        <f>E72-#REF!</f>
        <v>#REF!</v>
      </c>
      <c r="Q72" s="378"/>
    </row>
    <row r="73" spans="1:17" ht="71.25" customHeight="1" hidden="1" outlineLevel="5">
      <c r="A73" s="376" t="s">
        <v>122</v>
      </c>
      <c r="B73" s="377"/>
      <c r="C73" s="370" t="s">
        <v>124</v>
      </c>
      <c r="D73" s="371" t="s">
        <v>122</v>
      </c>
      <c r="E73" s="372">
        <v>-23389.69</v>
      </c>
      <c r="F73" s="483">
        <v>0</v>
      </c>
      <c r="G73" s="488"/>
      <c r="H73" s="486" t="e">
        <f>E73/#REF!</f>
        <v>#REF!</v>
      </c>
      <c r="I73" s="483">
        <v>60000</v>
      </c>
      <c r="J73" s="483"/>
      <c r="K73" s="483">
        <v>0</v>
      </c>
      <c r="L73" s="483"/>
      <c r="M73" s="486" t="e">
        <f t="shared" si="3"/>
        <v>#DIV/0!</v>
      </c>
      <c r="N73" s="483"/>
      <c r="O73" s="486">
        <f t="shared" si="0"/>
        <v>0</v>
      </c>
      <c r="P73" s="483" t="e">
        <f>E73-#REF!</f>
        <v>#REF!</v>
      </c>
      <c r="Q73" s="378"/>
    </row>
    <row r="74" spans="1:17" ht="83.25" customHeight="1" hidden="1" outlineLevel="1" collapsed="1">
      <c r="A74" s="376" t="s">
        <v>125</v>
      </c>
      <c r="B74" s="377" t="s">
        <v>126</v>
      </c>
      <c r="C74" s="370" t="s">
        <v>300</v>
      </c>
      <c r="D74" s="371" t="s">
        <v>125</v>
      </c>
      <c r="E74" s="372">
        <v>-23389.69</v>
      </c>
      <c r="F74" s="483">
        <v>-23369.36</v>
      </c>
      <c r="G74" s="488">
        <f>F74-E74</f>
        <v>20.32999999999811</v>
      </c>
      <c r="H74" s="486">
        <f>F74/E74</f>
        <v>0.999130813619163</v>
      </c>
      <c r="I74" s="483"/>
      <c r="J74" s="483"/>
      <c r="K74" s="483">
        <v>942.29</v>
      </c>
      <c r="L74" s="483">
        <f>K74-J74</f>
        <v>942.29</v>
      </c>
      <c r="M74" s="486"/>
      <c r="N74" s="483"/>
      <c r="O74" s="486"/>
      <c r="P74" s="483">
        <f>K74-F74</f>
        <v>24311.65</v>
      </c>
      <c r="Q74" s="378"/>
    </row>
    <row r="75" spans="1:17" ht="15.75" customHeight="1" hidden="1" outlineLevel="3">
      <c r="A75" s="376" t="s">
        <v>128</v>
      </c>
      <c r="B75" s="377"/>
      <c r="C75" s="370" t="s">
        <v>23</v>
      </c>
      <c r="D75" s="371" t="s">
        <v>128</v>
      </c>
      <c r="E75" s="372">
        <v>78.92</v>
      </c>
      <c r="F75" s="483">
        <v>78.92</v>
      </c>
      <c r="G75" s="488"/>
      <c r="H75" s="486" t="e">
        <f>E75/#REF!</f>
        <v>#REF!</v>
      </c>
      <c r="I75" s="483">
        <v>0</v>
      </c>
      <c r="J75" s="483"/>
      <c r="K75" s="483">
        <v>78.92</v>
      </c>
      <c r="L75" s="483"/>
      <c r="M75" s="486" t="e">
        <f>I75/G75</f>
        <v>#DIV/0!</v>
      </c>
      <c r="N75" s="483"/>
      <c r="O75" s="486" t="e">
        <f t="shared" si="0"/>
        <v>#DIV/0!</v>
      </c>
      <c r="P75" s="483" t="e">
        <f>E75-#REF!</f>
        <v>#REF!</v>
      </c>
      <c r="Q75" s="378"/>
    </row>
    <row r="76" spans="1:17" ht="180" customHeight="1" hidden="1" outlineLevel="4">
      <c r="A76" s="376" t="s">
        <v>129</v>
      </c>
      <c r="B76" s="377"/>
      <c r="C76" s="370" t="s">
        <v>130</v>
      </c>
      <c r="D76" s="371" t="s">
        <v>129</v>
      </c>
      <c r="E76" s="372">
        <v>78.92</v>
      </c>
      <c r="F76" s="483">
        <v>78.92</v>
      </c>
      <c r="G76" s="488"/>
      <c r="H76" s="486" t="e">
        <f>E76/#REF!</f>
        <v>#REF!</v>
      </c>
      <c r="I76" s="483">
        <v>0</v>
      </c>
      <c r="J76" s="483"/>
      <c r="K76" s="483">
        <v>78.92</v>
      </c>
      <c r="L76" s="483"/>
      <c r="M76" s="486" t="e">
        <f>I76/G76</f>
        <v>#DIV/0!</v>
      </c>
      <c r="N76" s="483"/>
      <c r="O76" s="486" t="e">
        <f t="shared" si="0"/>
        <v>#DIV/0!</v>
      </c>
      <c r="P76" s="483" t="e">
        <f>E76-#REF!</f>
        <v>#REF!</v>
      </c>
      <c r="Q76" s="378"/>
    </row>
    <row r="77" spans="1:17" ht="180" customHeight="1" hidden="1" outlineLevel="5">
      <c r="A77" s="376" t="s">
        <v>131</v>
      </c>
      <c r="B77" s="377"/>
      <c r="C77" s="370" t="s">
        <v>132</v>
      </c>
      <c r="D77" s="371" t="s">
        <v>131</v>
      </c>
      <c r="E77" s="372">
        <f>E78+E87+E103+E106+E109+E110</f>
        <v>106887173.90000002</v>
      </c>
      <c r="F77" s="483">
        <v>78.92</v>
      </c>
      <c r="G77" s="488"/>
      <c r="H77" s="486" t="e">
        <f>E77/#REF!</f>
        <v>#REF!</v>
      </c>
      <c r="I77" s="483">
        <v>0</v>
      </c>
      <c r="J77" s="483"/>
      <c r="K77" s="483">
        <v>78.92</v>
      </c>
      <c r="L77" s="483"/>
      <c r="M77" s="486" t="e">
        <f>I77/G77</f>
        <v>#DIV/0!</v>
      </c>
      <c r="N77" s="483"/>
      <c r="O77" s="486" t="e">
        <f>K77/I77</f>
        <v>#DIV/0!</v>
      </c>
      <c r="P77" s="483" t="e">
        <f>E77-#REF!</f>
        <v>#REF!</v>
      </c>
      <c r="Q77" s="378"/>
    </row>
    <row r="78" spans="1:17" s="352" customFormat="1" ht="57" customHeight="1" outlineLevel="5">
      <c r="A78" s="365"/>
      <c r="B78" s="444" t="s">
        <v>317</v>
      </c>
      <c r="C78" s="445" t="s">
        <v>306</v>
      </c>
      <c r="D78" s="446"/>
      <c r="E78" s="447">
        <f>E79+E88+E104+E107+E110+E111</f>
        <v>73494552.89</v>
      </c>
      <c r="F78" s="492">
        <v>37.2</v>
      </c>
      <c r="G78" s="492">
        <f>G79+G88+G104+G107+G110+G111</f>
        <v>-37386481.699999996</v>
      </c>
      <c r="H78" s="492">
        <f>F78/E78</f>
        <v>5.061599606664402E-07</v>
      </c>
      <c r="I78" s="492">
        <f>I79+I88+I104+I107+I110+I111</f>
        <v>129125832.09</v>
      </c>
      <c r="J78" s="492">
        <f>J79+J88+J104+J107+J110+J111</f>
        <v>2230316.48</v>
      </c>
      <c r="K78" s="492">
        <f>85.6-18.2</f>
        <v>67.39999999999999</v>
      </c>
      <c r="L78" s="492">
        <f>K78-J78</f>
        <v>-2230249.08</v>
      </c>
      <c r="M78" s="492" t="e">
        <f>M79+M88+M104+M107+M110+M111</f>
        <v>#DIV/0!</v>
      </c>
      <c r="N78" s="492">
        <f>N79+N88+N104+N107+N110+N111</f>
        <v>-47896005.43</v>
      </c>
      <c r="O78" s="493">
        <f aca="true" t="shared" si="14" ref="O78:O125">K78/I78</f>
        <v>5.219714669720196E-07</v>
      </c>
      <c r="P78" s="492">
        <f>K78-F78</f>
        <v>30.19999999999999</v>
      </c>
      <c r="Q78" s="368"/>
    </row>
    <row r="79" spans="1:17" ht="57" customHeight="1" outlineLevel="1">
      <c r="A79" s="376" t="s">
        <v>135</v>
      </c>
      <c r="B79" s="377" t="s">
        <v>136</v>
      </c>
      <c r="C79" s="370" t="s">
        <v>137</v>
      </c>
      <c r="D79" s="371" t="s">
        <v>135</v>
      </c>
      <c r="E79" s="372">
        <f>E80+E81+E82+E83+E87</f>
        <v>37416244.75</v>
      </c>
      <c r="F79" s="483">
        <v>18.9</v>
      </c>
      <c r="G79" s="488">
        <f>G80+G81+G83+G87</f>
        <v>-18532261.37</v>
      </c>
      <c r="H79" s="486">
        <f>F79/E79</f>
        <v>5.05128190343046E-07</v>
      </c>
      <c r="I79" s="483">
        <f>I80+I81+I82+I83+I87</f>
        <v>26290475.19</v>
      </c>
      <c r="J79" s="483">
        <f>J80+J81+J82+J83+J87</f>
        <v>859800</v>
      </c>
      <c r="K79" s="483">
        <v>15.3</v>
      </c>
      <c r="L79" s="483">
        <f>K79-J79</f>
        <v>-859784.7</v>
      </c>
      <c r="M79" s="486">
        <f>I79/G79</f>
        <v>-1.4186328729724795</v>
      </c>
      <c r="N79" s="483">
        <f>N80+N81+N82+N83+N87</f>
        <v>-10991619.11</v>
      </c>
      <c r="O79" s="486">
        <f t="shared" si="14"/>
        <v>5.819598120394415E-07</v>
      </c>
      <c r="P79" s="483">
        <f>K79-F79</f>
        <v>-3.599999999999998</v>
      </c>
      <c r="Q79" s="378"/>
    </row>
    <row r="80" spans="1:17" ht="66.75" customHeight="1" hidden="1" outlineLevel="4">
      <c r="A80" s="376" t="s">
        <v>138</v>
      </c>
      <c r="B80" s="377" t="s">
        <v>139</v>
      </c>
      <c r="C80" s="370" t="s">
        <v>140</v>
      </c>
      <c r="D80" s="371" t="s">
        <v>138</v>
      </c>
      <c r="E80" s="372">
        <v>24363527.29</v>
      </c>
      <c r="F80" s="483">
        <v>8910307.87</v>
      </c>
      <c r="G80" s="488">
        <f>F80-E80</f>
        <v>-15453219.42</v>
      </c>
      <c r="H80" s="486">
        <f>F80/E80</f>
        <v>0.36572322898652004</v>
      </c>
      <c r="I80" s="483">
        <v>15000000</v>
      </c>
      <c r="J80" s="483">
        <v>350000</v>
      </c>
      <c r="K80" s="483">
        <v>7244803.34</v>
      </c>
      <c r="L80" s="483">
        <f>K80-J80</f>
        <v>6894803.34</v>
      </c>
      <c r="M80" s="486">
        <f>I80/G80</f>
        <v>-0.9706715210803627</v>
      </c>
      <c r="N80" s="483">
        <f>K80-I80</f>
        <v>-7755196.66</v>
      </c>
      <c r="O80" s="486">
        <f t="shared" si="14"/>
        <v>0.48298688933333334</v>
      </c>
      <c r="P80" s="483">
        <f>K80-F80</f>
        <v>-1665504.5299999993</v>
      </c>
      <c r="Q80" s="375" t="s">
        <v>268</v>
      </c>
    </row>
    <row r="81" spans="1:17" ht="61.5" customHeight="1" hidden="1" outlineLevel="4">
      <c r="A81" s="376" t="s">
        <v>141</v>
      </c>
      <c r="B81" s="377" t="s">
        <v>142</v>
      </c>
      <c r="C81" s="370" t="s">
        <v>143</v>
      </c>
      <c r="D81" s="371" t="s">
        <v>141</v>
      </c>
      <c r="E81" s="372">
        <v>977974.72</v>
      </c>
      <c r="F81" s="483">
        <v>559141.15</v>
      </c>
      <c r="G81" s="488">
        <f aca="true" t="shared" si="15" ref="G81:G87">F81-E81</f>
        <v>-418833.56999999995</v>
      </c>
      <c r="H81" s="486">
        <f aca="true" t="shared" si="16" ref="H81:H87">F81/E81</f>
        <v>0.5717337458375202</v>
      </c>
      <c r="I81" s="483">
        <v>987235.05</v>
      </c>
      <c r="J81" s="483">
        <v>109800</v>
      </c>
      <c r="K81" s="483">
        <v>622808.47</v>
      </c>
      <c r="L81" s="483">
        <f aca="true" t="shared" si="17" ref="L81:L87">K81-J81</f>
        <v>513008.47</v>
      </c>
      <c r="M81" s="486">
        <f>I81/G81</f>
        <v>-2.3571058308435022</v>
      </c>
      <c r="N81" s="483">
        <f aca="true" t="shared" si="18" ref="N81:N87">K81-I81</f>
        <v>-364426.5800000001</v>
      </c>
      <c r="O81" s="486">
        <f t="shared" si="14"/>
        <v>0.630861384023997</v>
      </c>
      <c r="P81" s="483">
        <f aca="true" t="shared" si="19" ref="P81:P87">K81-F81</f>
        <v>63667.31999999995</v>
      </c>
      <c r="Q81" s="375"/>
    </row>
    <row r="82" spans="1:17" ht="108" customHeight="1" hidden="1" outlineLevel="4">
      <c r="A82" s="376"/>
      <c r="B82" s="377" t="s">
        <v>144</v>
      </c>
      <c r="C82" s="370" t="s">
        <v>145</v>
      </c>
      <c r="D82" s="371" t="s">
        <v>146</v>
      </c>
      <c r="E82" s="372">
        <v>58480.28</v>
      </c>
      <c r="F82" s="483">
        <v>29240.14</v>
      </c>
      <c r="G82" s="488">
        <f t="shared" si="15"/>
        <v>-29240.14</v>
      </c>
      <c r="H82" s="486">
        <f t="shared" si="16"/>
        <v>0.5</v>
      </c>
      <c r="I82" s="483">
        <v>29240.14</v>
      </c>
      <c r="J82" s="483"/>
      <c r="K82" s="483">
        <v>27691.96</v>
      </c>
      <c r="L82" s="483">
        <f t="shared" si="17"/>
        <v>27691.96</v>
      </c>
      <c r="M82" s="486"/>
      <c r="N82" s="483">
        <f t="shared" si="18"/>
        <v>-1548.1800000000003</v>
      </c>
      <c r="O82" s="486"/>
      <c r="P82" s="483"/>
      <c r="Q82" s="379" t="s">
        <v>147</v>
      </c>
    </row>
    <row r="83" spans="1:17" ht="38.25" customHeight="1" hidden="1" outlineLevel="2">
      <c r="A83" s="376" t="s">
        <v>148</v>
      </c>
      <c r="B83" s="377" t="s">
        <v>149</v>
      </c>
      <c r="C83" s="370" t="s">
        <v>150</v>
      </c>
      <c r="D83" s="371" t="s">
        <v>148</v>
      </c>
      <c r="E83" s="373">
        <v>5843542.64</v>
      </c>
      <c r="F83" s="488">
        <v>5843542.64</v>
      </c>
      <c r="G83" s="488">
        <f t="shared" si="15"/>
        <v>0</v>
      </c>
      <c r="H83" s="486">
        <f t="shared" si="16"/>
        <v>1</v>
      </c>
      <c r="I83" s="483">
        <v>4966000</v>
      </c>
      <c r="J83" s="483"/>
      <c r="K83" s="488">
        <v>4069500</v>
      </c>
      <c r="L83" s="483">
        <f t="shared" si="17"/>
        <v>4069500</v>
      </c>
      <c r="M83" s="486" t="e">
        <f aca="true" t="shared" si="20" ref="M83:M110">I83/G83</f>
        <v>#DIV/0!</v>
      </c>
      <c r="N83" s="483">
        <f t="shared" si="18"/>
        <v>-896500</v>
      </c>
      <c r="O83" s="486">
        <f t="shared" si="14"/>
        <v>0.8194724124043495</v>
      </c>
      <c r="P83" s="483">
        <f t="shared" si="19"/>
        <v>-1774042.6399999997</v>
      </c>
      <c r="Q83" s="375" t="s">
        <v>257</v>
      </c>
    </row>
    <row r="84" spans="1:17" ht="15" customHeight="1" hidden="1" outlineLevel="3">
      <c r="A84" s="376" t="s">
        <v>151</v>
      </c>
      <c r="B84" s="377"/>
      <c r="C84" s="370" t="s">
        <v>23</v>
      </c>
      <c r="D84" s="371" t="s">
        <v>151</v>
      </c>
      <c r="E84" s="372"/>
      <c r="F84" s="483"/>
      <c r="G84" s="488">
        <f t="shared" si="15"/>
        <v>0</v>
      </c>
      <c r="H84" s="486" t="e">
        <f t="shared" si="16"/>
        <v>#DIV/0!</v>
      </c>
      <c r="I84" s="483"/>
      <c r="J84" s="483"/>
      <c r="K84" s="483"/>
      <c r="L84" s="483">
        <f t="shared" si="17"/>
        <v>0</v>
      </c>
      <c r="M84" s="486" t="e">
        <f t="shared" si="20"/>
        <v>#DIV/0!</v>
      </c>
      <c r="N84" s="483">
        <f t="shared" si="18"/>
        <v>0</v>
      </c>
      <c r="O84" s="486" t="e">
        <f t="shared" si="14"/>
        <v>#DIV/0!</v>
      </c>
      <c r="P84" s="483">
        <f t="shared" si="19"/>
        <v>0</v>
      </c>
      <c r="Q84" s="378"/>
    </row>
    <row r="85" spans="1:17" ht="128.25" customHeight="1" hidden="1" outlineLevel="4">
      <c r="A85" s="376" t="s">
        <v>152</v>
      </c>
      <c r="B85" s="377"/>
      <c r="C85" s="370" t="s">
        <v>153</v>
      </c>
      <c r="D85" s="371" t="s">
        <v>152</v>
      </c>
      <c r="E85" s="372"/>
      <c r="F85" s="483"/>
      <c r="G85" s="488">
        <f t="shared" si="15"/>
        <v>0</v>
      </c>
      <c r="H85" s="486" t="e">
        <f t="shared" si="16"/>
        <v>#DIV/0!</v>
      </c>
      <c r="I85" s="483"/>
      <c r="J85" s="483"/>
      <c r="K85" s="483"/>
      <c r="L85" s="483">
        <f t="shared" si="17"/>
        <v>0</v>
      </c>
      <c r="M85" s="486" t="e">
        <f t="shared" si="20"/>
        <v>#DIV/0!</v>
      </c>
      <c r="N85" s="483">
        <f t="shared" si="18"/>
        <v>0</v>
      </c>
      <c r="O85" s="486" t="e">
        <f t="shared" si="14"/>
        <v>#DIV/0!</v>
      </c>
      <c r="P85" s="483">
        <f t="shared" si="19"/>
        <v>0</v>
      </c>
      <c r="Q85" s="378"/>
    </row>
    <row r="86" spans="1:17" ht="128.25" customHeight="1" hidden="1" outlineLevel="5">
      <c r="A86" s="376" t="s">
        <v>152</v>
      </c>
      <c r="B86" s="377"/>
      <c r="C86" s="370" t="s">
        <v>154</v>
      </c>
      <c r="D86" s="371" t="s">
        <v>152</v>
      </c>
      <c r="E86" s="372"/>
      <c r="F86" s="483"/>
      <c r="G86" s="488">
        <f t="shared" si="15"/>
        <v>0</v>
      </c>
      <c r="H86" s="486" t="e">
        <f t="shared" si="16"/>
        <v>#DIV/0!</v>
      </c>
      <c r="I86" s="483"/>
      <c r="J86" s="483"/>
      <c r="K86" s="483"/>
      <c r="L86" s="483">
        <f t="shared" si="17"/>
        <v>0</v>
      </c>
      <c r="M86" s="486" t="e">
        <f t="shared" si="20"/>
        <v>#DIV/0!</v>
      </c>
      <c r="N86" s="483">
        <f t="shared" si="18"/>
        <v>0</v>
      </c>
      <c r="O86" s="486" t="e">
        <f t="shared" si="14"/>
        <v>#DIV/0!</v>
      </c>
      <c r="P86" s="483">
        <f t="shared" si="19"/>
        <v>0</v>
      </c>
      <c r="Q86" s="378"/>
    </row>
    <row r="87" spans="1:17" ht="69.75" customHeight="1" hidden="1" outlineLevel="2" collapsed="1">
      <c r="A87" s="376" t="s">
        <v>155</v>
      </c>
      <c r="B87" s="377" t="s">
        <v>156</v>
      </c>
      <c r="C87" s="370" t="s">
        <v>157</v>
      </c>
      <c r="D87" s="371" t="s">
        <v>155</v>
      </c>
      <c r="E87" s="372">
        <v>6172719.82</v>
      </c>
      <c r="F87" s="483">
        <v>3512511.44</v>
      </c>
      <c r="G87" s="488">
        <f t="shared" si="15"/>
        <v>-2660208.3800000004</v>
      </c>
      <c r="H87" s="486">
        <f t="shared" si="16"/>
        <v>0.5690378864466263</v>
      </c>
      <c r="I87" s="483">
        <v>5308000</v>
      </c>
      <c r="J87" s="483">
        <v>400000</v>
      </c>
      <c r="K87" s="483">
        <v>3334052.31</v>
      </c>
      <c r="L87" s="483">
        <f t="shared" si="17"/>
        <v>2934052.31</v>
      </c>
      <c r="M87" s="486">
        <f t="shared" si="20"/>
        <v>-1.9953324107640016</v>
      </c>
      <c r="N87" s="483">
        <f t="shared" si="18"/>
        <v>-1973947.69</v>
      </c>
      <c r="O87" s="486">
        <f t="shared" si="14"/>
        <v>0.6281183703843256</v>
      </c>
      <c r="P87" s="483">
        <f t="shared" si="19"/>
        <v>-178459.1299999999</v>
      </c>
      <c r="Q87" s="375"/>
    </row>
    <row r="88" spans="1:17" ht="98.25" customHeight="1" hidden="1" outlineLevel="1" collapsed="1">
      <c r="A88" s="376" t="s">
        <v>158</v>
      </c>
      <c r="B88" s="377" t="s">
        <v>159</v>
      </c>
      <c r="C88" s="370" t="s">
        <v>160</v>
      </c>
      <c r="D88" s="371" t="s">
        <v>158</v>
      </c>
      <c r="E88" s="372">
        <v>485335.25</v>
      </c>
      <c r="F88" s="483">
        <v>342688.35</v>
      </c>
      <c r="G88" s="488">
        <f>F88-E88</f>
        <v>-142646.90000000002</v>
      </c>
      <c r="H88" s="486">
        <f>F88/E88</f>
        <v>0.7060858447846102</v>
      </c>
      <c r="I88" s="483">
        <v>231800</v>
      </c>
      <c r="J88" s="483">
        <v>0</v>
      </c>
      <c r="K88" s="483">
        <v>183258.7</v>
      </c>
      <c r="L88" s="483">
        <f>K88-J88</f>
        <v>183258.7</v>
      </c>
      <c r="M88" s="486">
        <f t="shared" si="20"/>
        <v>-1.6249914999905357</v>
      </c>
      <c r="N88" s="483">
        <f>K88-I88</f>
        <v>-48541.29999999999</v>
      </c>
      <c r="O88" s="486">
        <f t="shared" si="14"/>
        <v>0.7905897325280414</v>
      </c>
      <c r="P88" s="483">
        <f>K88-F88</f>
        <v>-159429.64999999997</v>
      </c>
      <c r="Q88" s="379"/>
    </row>
    <row r="89" spans="1:17" ht="15.75" customHeight="1" hidden="1" outlineLevel="3">
      <c r="A89" s="376" t="s">
        <v>161</v>
      </c>
      <c r="B89" s="377"/>
      <c r="C89" s="370" t="s">
        <v>23</v>
      </c>
      <c r="D89" s="371" t="s">
        <v>161</v>
      </c>
      <c r="E89" s="372">
        <v>2890.68</v>
      </c>
      <c r="F89" s="483">
        <v>2890.68</v>
      </c>
      <c r="G89" s="488"/>
      <c r="H89" s="486">
        <f aca="true" t="shared" si="21" ref="H89:H128">F89/E89</f>
        <v>1</v>
      </c>
      <c r="I89" s="483">
        <v>33800</v>
      </c>
      <c r="J89" s="483"/>
      <c r="K89" s="483">
        <v>2890.68</v>
      </c>
      <c r="L89" s="483">
        <f aca="true" t="shared" si="22" ref="L89:L118">K89-J89</f>
        <v>2890.68</v>
      </c>
      <c r="M89" s="486" t="e">
        <f t="shared" si="20"/>
        <v>#DIV/0!</v>
      </c>
      <c r="N89" s="483">
        <f aca="true" t="shared" si="23" ref="N89:N104">K89-I89</f>
        <v>-30909.32</v>
      </c>
      <c r="O89" s="486">
        <f t="shared" si="14"/>
        <v>0.08552307692307692</v>
      </c>
      <c r="P89" s="483">
        <f aca="true" t="shared" si="24" ref="P89:P128">K89-F89</f>
        <v>0</v>
      </c>
      <c r="Q89" s="378"/>
    </row>
    <row r="90" spans="1:17" ht="90" customHeight="1" hidden="1" outlineLevel="4">
      <c r="A90" s="376" t="s">
        <v>162</v>
      </c>
      <c r="B90" s="377"/>
      <c r="C90" s="370" t="s">
        <v>163</v>
      </c>
      <c r="D90" s="371" t="s">
        <v>162</v>
      </c>
      <c r="E90" s="372">
        <v>0</v>
      </c>
      <c r="F90" s="483">
        <v>2890.68</v>
      </c>
      <c r="G90" s="488"/>
      <c r="H90" s="486" t="e">
        <f t="shared" si="21"/>
        <v>#DIV/0!</v>
      </c>
      <c r="I90" s="483">
        <v>33800</v>
      </c>
      <c r="J90" s="483"/>
      <c r="K90" s="483">
        <v>2890.68</v>
      </c>
      <c r="L90" s="483">
        <f t="shared" si="22"/>
        <v>2890.68</v>
      </c>
      <c r="M90" s="486" t="e">
        <f t="shared" si="20"/>
        <v>#DIV/0!</v>
      </c>
      <c r="N90" s="483">
        <f t="shared" si="23"/>
        <v>-30909.32</v>
      </c>
      <c r="O90" s="486">
        <f t="shared" si="14"/>
        <v>0.08552307692307692</v>
      </c>
      <c r="P90" s="483">
        <f t="shared" si="24"/>
        <v>0</v>
      </c>
      <c r="Q90" s="378"/>
    </row>
    <row r="91" spans="1:17" ht="90" customHeight="1" hidden="1" outlineLevel="5">
      <c r="A91" s="376" t="s">
        <v>162</v>
      </c>
      <c r="B91" s="377"/>
      <c r="C91" s="370" t="s">
        <v>164</v>
      </c>
      <c r="D91" s="371" t="s">
        <v>162</v>
      </c>
      <c r="E91" s="372">
        <v>2890.68</v>
      </c>
      <c r="F91" s="483">
        <v>0</v>
      </c>
      <c r="G91" s="488"/>
      <c r="H91" s="486">
        <f t="shared" si="21"/>
        <v>0</v>
      </c>
      <c r="I91" s="483">
        <v>33800</v>
      </c>
      <c r="J91" s="483"/>
      <c r="K91" s="483">
        <v>0</v>
      </c>
      <c r="L91" s="483">
        <f t="shared" si="22"/>
        <v>0</v>
      </c>
      <c r="M91" s="486" t="e">
        <f t="shared" si="20"/>
        <v>#DIV/0!</v>
      </c>
      <c r="N91" s="483">
        <f t="shared" si="23"/>
        <v>-33800</v>
      </c>
      <c r="O91" s="486">
        <f t="shared" si="14"/>
        <v>0</v>
      </c>
      <c r="P91" s="483">
        <f t="shared" si="24"/>
        <v>0</v>
      </c>
      <c r="Q91" s="378"/>
    </row>
    <row r="92" spans="1:17" ht="90" customHeight="1" hidden="1" outlineLevel="5">
      <c r="A92" s="376" t="s">
        <v>165</v>
      </c>
      <c r="B92" s="377"/>
      <c r="C92" s="370" t="s">
        <v>164</v>
      </c>
      <c r="D92" s="371" t="s">
        <v>165</v>
      </c>
      <c r="E92" s="372">
        <v>53.23</v>
      </c>
      <c r="F92" s="483">
        <v>2890.68</v>
      </c>
      <c r="G92" s="488"/>
      <c r="H92" s="486">
        <f t="shared" si="21"/>
        <v>54.30546684200639</v>
      </c>
      <c r="I92" s="483">
        <v>0</v>
      </c>
      <c r="J92" s="483"/>
      <c r="K92" s="483">
        <v>2890.68</v>
      </c>
      <c r="L92" s="483">
        <f t="shared" si="22"/>
        <v>2890.68</v>
      </c>
      <c r="M92" s="486" t="e">
        <f t="shared" si="20"/>
        <v>#DIV/0!</v>
      </c>
      <c r="N92" s="483">
        <f t="shared" si="23"/>
        <v>2890.68</v>
      </c>
      <c r="O92" s="486" t="e">
        <f t="shared" si="14"/>
        <v>#DIV/0!</v>
      </c>
      <c r="P92" s="483">
        <f t="shared" si="24"/>
        <v>0</v>
      </c>
      <c r="Q92" s="378"/>
    </row>
    <row r="93" spans="1:17" ht="15.75" customHeight="1" hidden="1" outlineLevel="3">
      <c r="A93" s="376" t="s">
        <v>166</v>
      </c>
      <c r="B93" s="377"/>
      <c r="C93" s="370" t="s">
        <v>23</v>
      </c>
      <c r="D93" s="371" t="s">
        <v>166</v>
      </c>
      <c r="E93" s="372">
        <v>53.23</v>
      </c>
      <c r="F93" s="483">
        <v>53.23</v>
      </c>
      <c r="G93" s="488"/>
      <c r="H93" s="486">
        <f t="shared" si="21"/>
        <v>1</v>
      </c>
      <c r="I93" s="483">
        <v>0</v>
      </c>
      <c r="J93" s="483"/>
      <c r="K93" s="483">
        <v>53.23</v>
      </c>
      <c r="L93" s="483">
        <f t="shared" si="22"/>
        <v>53.23</v>
      </c>
      <c r="M93" s="486" t="e">
        <f t="shared" si="20"/>
        <v>#DIV/0!</v>
      </c>
      <c r="N93" s="483">
        <f t="shared" si="23"/>
        <v>53.23</v>
      </c>
      <c r="O93" s="486" t="e">
        <f t="shared" si="14"/>
        <v>#DIV/0!</v>
      </c>
      <c r="P93" s="483">
        <f t="shared" si="24"/>
        <v>0</v>
      </c>
      <c r="Q93" s="378"/>
    </row>
    <row r="94" spans="1:17" ht="90" customHeight="1" hidden="1" outlineLevel="4">
      <c r="A94" s="376" t="s">
        <v>167</v>
      </c>
      <c r="B94" s="377"/>
      <c r="C94" s="370" t="s">
        <v>168</v>
      </c>
      <c r="D94" s="371" t="s">
        <v>167</v>
      </c>
      <c r="E94" s="372">
        <v>53.23</v>
      </c>
      <c r="F94" s="483">
        <v>53.23</v>
      </c>
      <c r="G94" s="488"/>
      <c r="H94" s="486">
        <f t="shared" si="21"/>
        <v>1</v>
      </c>
      <c r="I94" s="483">
        <v>0</v>
      </c>
      <c r="J94" s="483"/>
      <c r="K94" s="483">
        <v>53.23</v>
      </c>
      <c r="L94" s="483">
        <f t="shared" si="22"/>
        <v>53.23</v>
      </c>
      <c r="M94" s="486" t="e">
        <f t="shared" si="20"/>
        <v>#DIV/0!</v>
      </c>
      <c r="N94" s="483">
        <f t="shared" si="23"/>
        <v>53.23</v>
      </c>
      <c r="O94" s="486" t="e">
        <f t="shared" si="14"/>
        <v>#DIV/0!</v>
      </c>
      <c r="P94" s="483">
        <f t="shared" si="24"/>
        <v>0</v>
      </c>
      <c r="Q94" s="378"/>
    </row>
    <row r="95" spans="1:17" ht="90" customHeight="1" hidden="1" outlineLevel="5">
      <c r="A95" s="376" t="s">
        <v>169</v>
      </c>
      <c r="B95" s="377"/>
      <c r="C95" s="370" t="s">
        <v>170</v>
      </c>
      <c r="D95" s="371" t="s">
        <v>169</v>
      </c>
      <c r="E95" s="372">
        <v>481.81</v>
      </c>
      <c r="F95" s="483">
        <v>53.23</v>
      </c>
      <c r="G95" s="488"/>
      <c r="H95" s="486">
        <f t="shared" si="21"/>
        <v>0.11047923455303957</v>
      </c>
      <c r="I95" s="483">
        <v>0</v>
      </c>
      <c r="J95" s="483"/>
      <c r="K95" s="483">
        <v>53.23</v>
      </c>
      <c r="L95" s="483">
        <f t="shared" si="22"/>
        <v>53.23</v>
      </c>
      <c r="M95" s="486" t="e">
        <f t="shared" si="20"/>
        <v>#DIV/0!</v>
      </c>
      <c r="N95" s="483">
        <f t="shared" si="23"/>
        <v>53.23</v>
      </c>
      <c r="O95" s="486" t="e">
        <f t="shared" si="14"/>
        <v>#DIV/0!</v>
      </c>
      <c r="P95" s="483">
        <f t="shared" si="24"/>
        <v>0</v>
      </c>
      <c r="Q95" s="378"/>
    </row>
    <row r="96" spans="1:17" ht="15.75" customHeight="1" hidden="1" outlineLevel="3">
      <c r="A96" s="376" t="s">
        <v>171</v>
      </c>
      <c r="B96" s="377"/>
      <c r="C96" s="370" t="s">
        <v>23</v>
      </c>
      <c r="D96" s="371" t="s">
        <v>171</v>
      </c>
      <c r="E96" s="372">
        <v>481.81</v>
      </c>
      <c r="F96" s="483">
        <v>481.81</v>
      </c>
      <c r="G96" s="488"/>
      <c r="H96" s="486">
        <f t="shared" si="21"/>
        <v>1</v>
      </c>
      <c r="I96" s="483">
        <v>59400</v>
      </c>
      <c r="J96" s="483"/>
      <c r="K96" s="483">
        <v>481.81</v>
      </c>
      <c r="L96" s="483">
        <f t="shared" si="22"/>
        <v>481.81</v>
      </c>
      <c r="M96" s="486" t="e">
        <f t="shared" si="20"/>
        <v>#DIV/0!</v>
      </c>
      <c r="N96" s="483">
        <f t="shared" si="23"/>
        <v>-58918.19</v>
      </c>
      <c r="O96" s="486">
        <f t="shared" si="14"/>
        <v>0.008111279461279462</v>
      </c>
      <c r="P96" s="483">
        <f t="shared" si="24"/>
        <v>0</v>
      </c>
      <c r="Q96" s="378"/>
    </row>
    <row r="97" spans="1:17" ht="45" customHeight="1" hidden="1" outlineLevel="4">
      <c r="A97" s="376" t="s">
        <v>172</v>
      </c>
      <c r="B97" s="377"/>
      <c r="C97" s="370" t="s">
        <v>173</v>
      </c>
      <c r="D97" s="371" t="s">
        <v>172</v>
      </c>
      <c r="E97" s="372">
        <v>0</v>
      </c>
      <c r="F97" s="483">
        <v>481.81</v>
      </c>
      <c r="G97" s="488"/>
      <c r="H97" s="486" t="e">
        <f t="shared" si="21"/>
        <v>#DIV/0!</v>
      </c>
      <c r="I97" s="483">
        <v>59400</v>
      </c>
      <c r="J97" s="483"/>
      <c r="K97" s="483">
        <v>481.81</v>
      </c>
      <c r="L97" s="483">
        <f t="shared" si="22"/>
        <v>481.81</v>
      </c>
      <c r="M97" s="486" t="e">
        <f t="shared" si="20"/>
        <v>#DIV/0!</v>
      </c>
      <c r="N97" s="483">
        <f t="shared" si="23"/>
        <v>-58918.19</v>
      </c>
      <c r="O97" s="486">
        <f t="shared" si="14"/>
        <v>0.008111279461279462</v>
      </c>
      <c r="P97" s="483">
        <f t="shared" si="24"/>
        <v>0</v>
      </c>
      <c r="Q97" s="378"/>
    </row>
    <row r="98" spans="1:17" ht="60" customHeight="1" hidden="1" outlineLevel="5">
      <c r="A98" s="376" t="s">
        <v>172</v>
      </c>
      <c r="B98" s="377"/>
      <c r="C98" s="370" t="s">
        <v>174</v>
      </c>
      <c r="D98" s="371" t="s">
        <v>172</v>
      </c>
      <c r="E98" s="372">
        <v>481.81</v>
      </c>
      <c r="F98" s="483">
        <v>0</v>
      </c>
      <c r="G98" s="488"/>
      <c r="H98" s="486">
        <f t="shared" si="21"/>
        <v>0</v>
      </c>
      <c r="I98" s="483">
        <v>59400</v>
      </c>
      <c r="J98" s="483"/>
      <c r="K98" s="483">
        <v>0</v>
      </c>
      <c r="L98" s="483">
        <f t="shared" si="22"/>
        <v>0</v>
      </c>
      <c r="M98" s="486" t="e">
        <f t="shared" si="20"/>
        <v>#DIV/0!</v>
      </c>
      <c r="N98" s="483">
        <f t="shared" si="23"/>
        <v>-59400</v>
      </c>
      <c r="O98" s="486">
        <f t="shared" si="14"/>
        <v>0</v>
      </c>
      <c r="P98" s="483">
        <f t="shared" si="24"/>
        <v>0</v>
      </c>
      <c r="Q98" s="378"/>
    </row>
    <row r="99" spans="1:17" ht="60" customHeight="1" hidden="1" outlineLevel="5">
      <c r="A99" s="376" t="s">
        <v>175</v>
      </c>
      <c r="B99" s="377"/>
      <c r="C99" s="370" t="s">
        <v>176</v>
      </c>
      <c r="D99" s="371" t="s">
        <v>175</v>
      </c>
      <c r="E99" s="372">
        <v>39261.54</v>
      </c>
      <c r="F99" s="483">
        <v>481.81</v>
      </c>
      <c r="G99" s="488"/>
      <c r="H99" s="486">
        <f t="shared" si="21"/>
        <v>0.01227180594546215</v>
      </c>
      <c r="I99" s="483">
        <v>0</v>
      </c>
      <c r="J99" s="483"/>
      <c r="K99" s="483">
        <v>481.81</v>
      </c>
      <c r="L99" s="483">
        <f t="shared" si="22"/>
        <v>481.81</v>
      </c>
      <c r="M99" s="486" t="e">
        <f t="shared" si="20"/>
        <v>#DIV/0!</v>
      </c>
      <c r="N99" s="483">
        <f t="shared" si="23"/>
        <v>481.81</v>
      </c>
      <c r="O99" s="486" t="e">
        <f t="shared" si="14"/>
        <v>#DIV/0!</v>
      </c>
      <c r="P99" s="483">
        <f t="shared" si="24"/>
        <v>0</v>
      </c>
      <c r="Q99" s="378"/>
    </row>
    <row r="100" spans="1:17" ht="15.75" customHeight="1" hidden="1" outlineLevel="3">
      <c r="A100" s="376" t="s">
        <v>177</v>
      </c>
      <c r="B100" s="377"/>
      <c r="C100" s="370" t="s">
        <v>23</v>
      </c>
      <c r="D100" s="371" t="s">
        <v>177</v>
      </c>
      <c r="E100" s="372">
        <v>39261.54</v>
      </c>
      <c r="F100" s="483">
        <v>39261.54</v>
      </c>
      <c r="G100" s="488"/>
      <c r="H100" s="486">
        <f t="shared" si="21"/>
        <v>1</v>
      </c>
      <c r="I100" s="483">
        <v>464900</v>
      </c>
      <c r="J100" s="483"/>
      <c r="K100" s="483">
        <v>39261.54</v>
      </c>
      <c r="L100" s="483">
        <f t="shared" si="22"/>
        <v>39261.54</v>
      </c>
      <c r="M100" s="486" t="e">
        <f t="shared" si="20"/>
        <v>#DIV/0!</v>
      </c>
      <c r="N100" s="483">
        <f t="shared" si="23"/>
        <v>-425638.46</v>
      </c>
      <c r="O100" s="486">
        <f t="shared" si="14"/>
        <v>0.0844515809851581</v>
      </c>
      <c r="P100" s="483">
        <f t="shared" si="24"/>
        <v>0</v>
      </c>
      <c r="Q100" s="378"/>
    </row>
    <row r="101" spans="1:17" ht="60" customHeight="1" hidden="1" outlineLevel="4">
      <c r="A101" s="376" t="s">
        <v>178</v>
      </c>
      <c r="B101" s="377"/>
      <c r="C101" s="370" t="s">
        <v>179</v>
      </c>
      <c r="D101" s="371" t="s">
        <v>178</v>
      </c>
      <c r="E101" s="372">
        <v>0</v>
      </c>
      <c r="F101" s="483">
        <v>39261.54</v>
      </c>
      <c r="G101" s="488"/>
      <c r="H101" s="486" t="e">
        <f t="shared" si="21"/>
        <v>#DIV/0!</v>
      </c>
      <c r="I101" s="483">
        <v>464900</v>
      </c>
      <c r="J101" s="483"/>
      <c r="K101" s="483">
        <v>39261.54</v>
      </c>
      <c r="L101" s="483">
        <f t="shared" si="22"/>
        <v>39261.54</v>
      </c>
      <c r="M101" s="486" t="e">
        <f t="shared" si="20"/>
        <v>#DIV/0!</v>
      </c>
      <c r="N101" s="483">
        <f t="shared" si="23"/>
        <v>-425638.46</v>
      </c>
      <c r="O101" s="486">
        <f t="shared" si="14"/>
        <v>0.0844515809851581</v>
      </c>
      <c r="P101" s="483">
        <f t="shared" si="24"/>
        <v>0</v>
      </c>
      <c r="Q101" s="378"/>
    </row>
    <row r="102" spans="1:17" ht="60" customHeight="1" hidden="1" outlineLevel="5">
      <c r="A102" s="376" t="s">
        <v>178</v>
      </c>
      <c r="B102" s="377"/>
      <c r="C102" s="370" t="s">
        <v>180</v>
      </c>
      <c r="D102" s="371" t="s">
        <v>178</v>
      </c>
      <c r="E102" s="372">
        <v>39261.54</v>
      </c>
      <c r="F102" s="483">
        <v>0</v>
      </c>
      <c r="G102" s="488"/>
      <c r="H102" s="486">
        <f t="shared" si="21"/>
        <v>0</v>
      </c>
      <c r="I102" s="483">
        <v>464900</v>
      </c>
      <c r="J102" s="483"/>
      <c r="K102" s="483">
        <v>0</v>
      </c>
      <c r="L102" s="483">
        <f t="shared" si="22"/>
        <v>0</v>
      </c>
      <c r="M102" s="486" t="e">
        <f t="shared" si="20"/>
        <v>#DIV/0!</v>
      </c>
      <c r="N102" s="483">
        <f t="shared" si="23"/>
        <v>-464900</v>
      </c>
      <c r="O102" s="486">
        <f t="shared" si="14"/>
        <v>0</v>
      </c>
      <c r="P102" s="483">
        <f t="shared" si="24"/>
        <v>0</v>
      </c>
      <c r="Q102" s="378"/>
    </row>
    <row r="103" spans="1:17" ht="60" customHeight="1" hidden="1" outlineLevel="5">
      <c r="A103" s="376" t="s">
        <v>181</v>
      </c>
      <c r="B103" s="377"/>
      <c r="C103" s="370" t="s">
        <v>182</v>
      </c>
      <c r="D103" s="371" t="s">
        <v>181</v>
      </c>
      <c r="E103" s="372">
        <f>E104+E105</f>
        <v>10003098.77</v>
      </c>
      <c r="F103" s="483">
        <v>39261.54</v>
      </c>
      <c r="G103" s="488"/>
      <c r="H103" s="486">
        <f t="shared" si="21"/>
        <v>0.003924937752064204</v>
      </c>
      <c r="I103" s="483">
        <v>0</v>
      </c>
      <c r="J103" s="483"/>
      <c r="K103" s="483">
        <v>39261.54</v>
      </c>
      <c r="L103" s="483">
        <f t="shared" si="22"/>
        <v>39261.54</v>
      </c>
      <c r="M103" s="486" t="e">
        <f t="shared" si="20"/>
        <v>#DIV/0!</v>
      </c>
      <c r="N103" s="483">
        <f t="shared" si="23"/>
        <v>39261.54</v>
      </c>
      <c r="O103" s="486" t="e">
        <f t="shared" si="14"/>
        <v>#DIV/0!</v>
      </c>
      <c r="P103" s="483">
        <f t="shared" si="24"/>
        <v>0</v>
      </c>
      <c r="Q103" s="378"/>
    </row>
    <row r="104" spans="1:17" ht="78.75" customHeight="1" hidden="1" outlineLevel="1" collapsed="1">
      <c r="A104" s="376" t="s">
        <v>183</v>
      </c>
      <c r="B104" s="377" t="s">
        <v>184</v>
      </c>
      <c r="C104" s="370" t="s">
        <v>185</v>
      </c>
      <c r="D104" s="371" t="s">
        <v>183</v>
      </c>
      <c r="E104" s="372">
        <f>E105+E106</f>
        <v>6949209.46</v>
      </c>
      <c r="F104" s="483">
        <f>F105+F106</f>
        <v>1668606.8</v>
      </c>
      <c r="G104" s="488">
        <f>G105+G106</f>
        <v>-5280602.66</v>
      </c>
      <c r="H104" s="486">
        <f t="shared" si="21"/>
        <v>0.24011462161337702</v>
      </c>
      <c r="I104" s="483">
        <f>I105+I106</f>
        <v>21746234.24</v>
      </c>
      <c r="J104" s="483">
        <f>J105+J106</f>
        <v>217229</v>
      </c>
      <c r="K104" s="483">
        <f>K105+K106</f>
        <v>20292280.88</v>
      </c>
      <c r="L104" s="483">
        <f t="shared" si="22"/>
        <v>20075051.88</v>
      </c>
      <c r="M104" s="486">
        <f t="shared" si="20"/>
        <v>-4.118134925152653</v>
      </c>
      <c r="N104" s="483">
        <f t="shared" si="23"/>
        <v>-1453953.3599999994</v>
      </c>
      <c r="O104" s="486">
        <f t="shared" si="14"/>
        <v>0.9331399936212589</v>
      </c>
      <c r="P104" s="483">
        <f t="shared" si="24"/>
        <v>18623674.08</v>
      </c>
      <c r="Q104" s="378"/>
    </row>
    <row r="105" spans="1:17" ht="62.25" customHeight="1" hidden="1" outlineLevel="2">
      <c r="A105" s="376" t="s">
        <v>186</v>
      </c>
      <c r="B105" s="377" t="s">
        <v>187</v>
      </c>
      <c r="C105" s="370" t="s">
        <v>188</v>
      </c>
      <c r="D105" s="371" t="s">
        <v>186</v>
      </c>
      <c r="E105" s="372">
        <v>3053889.31</v>
      </c>
      <c r="F105" s="483">
        <v>1640439.34</v>
      </c>
      <c r="G105" s="488">
        <f>F105-E105</f>
        <v>-1413449.97</v>
      </c>
      <c r="H105" s="486">
        <f t="shared" si="21"/>
        <v>0.5371639812315268</v>
      </c>
      <c r="I105" s="483">
        <v>3335156.7</v>
      </c>
      <c r="J105" s="483">
        <v>217229</v>
      </c>
      <c r="K105" s="483">
        <v>1791134.8</v>
      </c>
      <c r="L105" s="483">
        <f t="shared" si="22"/>
        <v>1573905.8</v>
      </c>
      <c r="M105" s="486">
        <f t="shared" si="20"/>
        <v>-2.3595859569051463</v>
      </c>
      <c r="N105" s="483">
        <f>K105-I105</f>
        <v>-1544021.9000000001</v>
      </c>
      <c r="O105" s="486">
        <f t="shared" si="14"/>
        <v>0.537046670100988</v>
      </c>
      <c r="P105" s="483">
        <f t="shared" si="24"/>
        <v>150695.45999999996</v>
      </c>
      <c r="Q105" s="379"/>
    </row>
    <row r="106" spans="1:17" ht="45.75" customHeight="1" hidden="1" outlineLevel="3">
      <c r="A106" s="376" t="s">
        <v>189</v>
      </c>
      <c r="B106" s="377" t="s">
        <v>190</v>
      </c>
      <c r="C106" s="370" t="s">
        <v>191</v>
      </c>
      <c r="D106" s="371" t="s">
        <v>192</v>
      </c>
      <c r="E106" s="373">
        <v>3895320.15</v>
      </c>
      <c r="F106" s="488">
        <v>28167.46</v>
      </c>
      <c r="G106" s="488">
        <f>F106-E106</f>
        <v>-3867152.69</v>
      </c>
      <c r="H106" s="486">
        <f t="shared" si="21"/>
        <v>0.007231102686129662</v>
      </c>
      <c r="I106" s="483">
        <v>18411077.54</v>
      </c>
      <c r="J106" s="483"/>
      <c r="K106" s="488">
        <v>18501146.08</v>
      </c>
      <c r="L106" s="483">
        <f t="shared" si="22"/>
        <v>18501146.08</v>
      </c>
      <c r="M106" s="486">
        <f t="shared" si="20"/>
        <v>-4.760887147696255</v>
      </c>
      <c r="N106" s="483">
        <f>K106-I106</f>
        <v>90068.5399999991</v>
      </c>
      <c r="O106" s="486">
        <f t="shared" si="14"/>
        <v>1.004892084116441</v>
      </c>
      <c r="P106" s="483">
        <f t="shared" si="24"/>
        <v>18472978.619999997</v>
      </c>
      <c r="Q106" s="375" t="s">
        <v>292</v>
      </c>
    </row>
    <row r="107" spans="1:17" ht="75.75" customHeight="1" outlineLevel="1" collapsed="1">
      <c r="A107" s="376" t="s">
        <v>193</v>
      </c>
      <c r="B107" s="377" t="s">
        <v>194</v>
      </c>
      <c r="C107" s="370" t="s">
        <v>195</v>
      </c>
      <c r="D107" s="371" t="s">
        <v>193</v>
      </c>
      <c r="E107" s="372">
        <f>E108+E109</f>
        <v>19228417.560000002</v>
      </c>
      <c r="F107" s="483">
        <v>9.9</v>
      </c>
      <c r="G107" s="488">
        <f>G108+G109</f>
        <v>-9278894.02</v>
      </c>
      <c r="H107" s="486">
        <f t="shared" si="21"/>
        <v>5.148629609851264E-07</v>
      </c>
      <c r="I107" s="483">
        <f>I108+I109</f>
        <v>63050705.53</v>
      </c>
      <c r="J107" s="483">
        <f>J108+J109</f>
        <v>200000</v>
      </c>
      <c r="K107" s="483">
        <v>33</v>
      </c>
      <c r="L107" s="483">
        <f t="shared" si="22"/>
        <v>-199967</v>
      </c>
      <c r="M107" s="486">
        <f t="shared" si="20"/>
        <v>-6.795066889879189</v>
      </c>
      <c r="N107" s="483">
        <f>N108+N109</f>
        <v>-30009356.56</v>
      </c>
      <c r="O107" s="486">
        <f t="shared" si="14"/>
        <v>5.233882749226073E-07</v>
      </c>
      <c r="P107" s="483">
        <f t="shared" si="24"/>
        <v>23.1</v>
      </c>
      <c r="Q107" s="378"/>
    </row>
    <row r="108" spans="1:17" ht="75.75" customHeight="1" hidden="1" outlineLevel="2">
      <c r="A108" s="376" t="s">
        <v>196</v>
      </c>
      <c r="B108" s="377" t="s">
        <v>197</v>
      </c>
      <c r="C108" s="370" t="s">
        <v>198</v>
      </c>
      <c r="D108" s="371" t="s">
        <v>196</v>
      </c>
      <c r="E108" s="372">
        <v>7574993.66</v>
      </c>
      <c r="F108" s="483">
        <f>33366+3225820</f>
        <v>3259186</v>
      </c>
      <c r="G108" s="488">
        <f aca="true" t="shared" si="25" ref="G108:G128">F108-E108</f>
        <v>-4315807.66</v>
      </c>
      <c r="H108" s="486">
        <f t="shared" si="21"/>
        <v>0.4302559376663557</v>
      </c>
      <c r="I108" s="483">
        <v>37116405.53</v>
      </c>
      <c r="J108" s="483"/>
      <c r="K108" s="483">
        <f>328636+18065436.94</f>
        <v>18394072.94</v>
      </c>
      <c r="L108" s="483">
        <f t="shared" si="22"/>
        <v>18394072.94</v>
      </c>
      <c r="M108" s="486">
        <f t="shared" si="20"/>
        <v>-8.600106504746321</v>
      </c>
      <c r="N108" s="483">
        <f>K108-I108</f>
        <v>-18722332.59</v>
      </c>
      <c r="O108" s="486">
        <f t="shared" si="14"/>
        <v>0.495577970909189</v>
      </c>
      <c r="P108" s="483">
        <f t="shared" si="24"/>
        <v>15134886.940000001</v>
      </c>
      <c r="Q108" s="379"/>
    </row>
    <row r="109" spans="1:17" ht="36" customHeight="1" hidden="1" outlineLevel="2">
      <c r="A109" s="376" t="s">
        <v>199</v>
      </c>
      <c r="B109" s="377" t="s">
        <v>200</v>
      </c>
      <c r="C109" s="370" t="s">
        <v>201</v>
      </c>
      <c r="D109" s="371" t="s">
        <v>199</v>
      </c>
      <c r="E109" s="372">
        <v>11653423.9</v>
      </c>
      <c r="F109" s="483">
        <v>6690337.54</v>
      </c>
      <c r="G109" s="488">
        <f t="shared" si="25"/>
        <v>-4963086.36</v>
      </c>
      <c r="H109" s="486">
        <f t="shared" si="21"/>
        <v>0.5741091714684815</v>
      </c>
      <c r="I109" s="483">
        <v>25934300</v>
      </c>
      <c r="J109" s="483">
        <v>200000</v>
      </c>
      <c r="K109" s="483">
        <f>6243276.03+8404000</f>
        <v>14647276.030000001</v>
      </c>
      <c r="L109" s="483">
        <f t="shared" si="22"/>
        <v>14447276.030000001</v>
      </c>
      <c r="M109" s="486">
        <f t="shared" si="20"/>
        <v>-5.225437987341409</v>
      </c>
      <c r="N109" s="483">
        <f>K109-I109</f>
        <v>-11287023.969999999</v>
      </c>
      <c r="O109" s="486">
        <f t="shared" si="14"/>
        <v>0.5647839359458324</v>
      </c>
      <c r="P109" s="483">
        <f t="shared" si="24"/>
        <v>7956938.490000001</v>
      </c>
      <c r="Q109" s="375"/>
    </row>
    <row r="110" spans="1:17" ht="42" customHeight="1" outlineLevel="1" collapsed="1">
      <c r="A110" s="376" t="s">
        <v>202</v>
      </c>
      <c r="B110" s="377" t="s">
        <v>203</v>
      </c>
      <c r="C110" s="370" t="s">
        <v>204</v>
      </c>
      <c r="D110" s="371" t="s">
        <v>202</v>
      </c>
      <c r="E110" s="372">
        <v>1668058.37</v>
      </c>
      <c r="F110" s="483">
        <v>1.1</v>
      </c>
      <c r="G110" s="488">
        <f t="shared" si="25"/>
        <v>-1668057.27</v>
      </c>
      <c r="H110" s="486">
        <f t="shared" si="21"/>
        <v>6.594493452887983E-07</v>
      </c>
      <c r="I110" s="483">
        <v>3801835.05</v>
      </c>
      <c r="J110" s="483">
        <v>35150</v>
      </c>
      <c r="K110" s="483">
        <v>4.4</v>
      </c>
      <c r="L110" s="483">
        <f t="shared" si="22"/>
        <v>-35145.6</v>
      </c>
      <c r="M110" s="486">
        <f t="shared" si="20"/>
        <v>-2.279199352669708</v>
      </c>
      <c r="N110" s="483">
        <f>K110-I110</f>
        <v>-3801830.65</v>
      </c>
      <c r="O110" s="486">
        <f t="shared" si="14"/>
        <v>1.1573358502231707E-06</v>
      </c>
      <c r="P110" s="483">
        <f t="shared" si="24"/>
        <v>3.3000000000000003</v>
      </c>
      <c r="Q110" s="379" t="s">
        <v>291</v>
      </c>
    </row>
    <row r="111" spans="1:17" ht="41.25" customHeight="1" outlineLevel="1">
      <c r="A111" s="376" t="s">
        <v>205</v>
      </c>
      <c r="B111" s="377" t="s">
        <v>206</v>
      </c>
      <c r="C111" s="370" t="s">
        <v>207</v>
      </c>
      <c r="D111" s="371" t="s">
        <v>205</v>
      </c>
      <c r="E111" s="372">
        <f>E112+E113+E114+E115+E116+E117+E118</f>
        <v>7747287.5</v>
      </c>
      <c r="F111" s="483">
        <v>5.3</v>
      </c>
      <c r="G111" s="488">
        <f>G112+G113+G114+G115+G116+G117</f>
        <v>-2484019.48</v>
      </c>
      <c r="H111" s="486">
        <f t="shared" si="21"/>
        <v>6.841104063841699E-07</v>
      </c>
      <c r="I111" s="483">
        <f>I112+I113+I114+I115+I116+I117+I118</f>
        <v>14004782.08</v>
      </c>
      <c r="J111" s="483">
        <f>J112+J113+J114+J115+J116+J117+J118</f>
        <v>918137.48</v>
      </c>
      <c r="K111" s="483">
        <v>12.4</v>
      </c>
      <c r="L111" s="483">
        <f>L112+L113+L114+L115+L116+L117+L118</f>
        <v>11495940.15</v>
      </c>
      <c r="M111" s="483" t="e">
        <f>M112+M113+M114+M115+M116+M117+M118</f>
        <v>#DIV/0!</v>
      </c>
      <c r="N111" s="483">
        <f>N112+N113+N114+N115+N116+N117+N118</f>
        <v>-1590704.45</v>
      </c>
      <c r="O111" s="486">
        <f t="shared" si="14"/>
        <v>8.854118492645621E-07</v>
      </c>
      <c r="P111" s="483">
        <f t="shared" si="24"/>
        <v>7.1000000000000005</v>
      </c>
      <c r="Q111" s="378"/>
    </row>
    <row r="112" spans="1:17" ht="72" customHeight="1" hidden="1" outlineLevel="1">
      <c r="A112" s="376"/>
      <c r="B112" s="377" t="s">
        <v>208</v>
      </c>
      <c r="C112" s="370" t="s">
        <v>209</v>
      </c>
      <c r="D112" s="371" t="s">
        <v>210</v>
      </c>
      <c r="E112" s="372">
        <v>0</v>
      </c>
      <c r="F112" s="372">
        <v>17538.6</v>
      </c>
      <c r="G112" s="373"/>
      <c r="H112" s="374"/>
      <c r="I112" s="372"/>
      <c r="J112" s="372"/>
      <c r="K112" s="372"/>
      <c r="L112" s="372">
        <f t="shared" si="22"/>
        <v>0</v>
      </c>
      <c r="M112" s="374"/>
      <c r="N112" s="372">
        <f aca="true" t="shared" si="26" ref="N112:N118">K112-I112</f>
        <v>0</v>
      </c>
      <c r="O112" s="374"/>
      <c r="P112" s="372">
        <f t="shared" si="24"/>
        <v>-17538.6</v>
      </c>
      <c r="Q112" s="378"/>
    </row>
    <row r="113" spans="1:17" ht="94.5" customHeight="1" hidden="1" outlineLevel="5">
      <c r="A113" s="376" t="s">
        <v>211</v>
      </c>
      <c r="B113" s="377" t="s">
        <v>212</v>
      </c>
      <c r="C113" s="370" t="s">
        <v>213</v>
      </c>
      <c r="D113" s="371" t="s">
        <v>211</v>
      </c>
      <c r="E113" s="372">
        <v>898909.4</v>
      </c>
      <c r="F113" s="372">
        <v>409910.6</v>
      </c>
      <c r="G113" s="373">
        <f t="shared" si="25"/>
        <v>-488998.80000000005</v>
      </c>
      <c r="H113" s="374">
        <f t="shared" si="21"/>
        <v>0.4560088035568434</v>
      </c>
      <c r="I113" s="372">
        <v>936864.56</v>
      </c>
      <c r="J113" s="372"/>
      <c r="K113" s="372">
        <v>605149.2</v>
      </c>
      <c r="L113" s="372">
        <f t="shared" si="22"/>
        <v>605149.2</v>
      </c>
      <c r="M113" s="374">
        <f>I113/G113</f>
        <v>-1.9158831473615068</v>
      </c>
      <c r="N113" s="372">
        <f t="shared" si="26"/>
        <v>-331715.3600000001</v>
      </c>
      <c r="O113" s="374">
        <f t="shared" si="14"/>
        <v>0.6459302932752626</v>
      </c>
      <c r="P113" s="372">
        <f t="shared" si="24"/>
        <v>195238.59999999998</v>
      </c>
      <c r="Q113" s="375" t="s">
        <v>259</v>
      </c>
    </row>
    <row r="114" spans="1:17" ht="61.5" customHeight="1" hidden="1" outlineLevel="5">
      <c r="A114" s="376" t="s">
        <v>214</v>
      </c>
      <c r="B114" s="377" t="s">
        <v>215</v>
      </c>
      <c r="C114" s="370" t="s">
        <v>216</v>
      </c>
      <c r="D114" s="371" t="s">
        <v>214</v>
      </c>
      <c r="E114" s="372">
        <v>91219.38</v>
      </c>
      <c r="F114" s="372">
        <v>27826.12</v>
      </c>
      <c r="G114" s="373">
        <f t="shared" si="25"/>
        <v>-63393.26000000001</v>
      </c>
      <c r="H114" s="374">
        <f t="shared" si="21"/>
        <v>0.3050461426069767</v>
      </c>
      <c r="I114" s="372">
        <v>33077</v>
      </c>
      <c r="J114" s="372">
        <v>4255</v>
      </c>
      <c r="K114" s="372"/>
      <c r="L114" s="372">
        <f t="shared" si="22"/>
        <v>-4255</v>
      </c>
      <c r="M114" s="374">
        <f>I114/G114</f>
        <v>-0.5217747123274619</v>
      </c>
      <c r="N114" s="372">
        <f t="shared" si="26"/>
        <v>-33077</v>
      </c>
      <c r="O114" s="374">
        <f t="shared" si="14"/>
        <v>0</v>
      </c>
      <c r="P114" s="372">
        <f t="shared" si="24"/>
        <v>-27826.12</v>
      </c>
      <c r="Q114" s="375" t="s">
        <v>293</v>
      </c>
    </row>
    <row r="115" spans="1:17" ht="79.5" customHeight="1" hidden="1" outlineLevel="5">
      <c r="A115" s="376" t="s">
        <v>217</v>
      </c>
      <c r="B115" s="377" t="s">
        <v>218</v>
      </c>
      <c r="C115" s="370" t="s">
        <v>219</v>
      </c>
      <c r="D115" s="371" t="s">
        <v>217</v>
      </c>
      <c r="E115" s="372">
        <v>0</v>
      </c>
      <c r="F115" s="372"/>
      <c r="G115" s="373">
        <f t="shared" si="25"/>
        <v>0</v>
      </c>
      <c r="H115" s="374"/>
      <c r="I115" s="372">
        <v>6000000</v>
      </c>
      <c r="J115" s="372"/>
      <c r="K115" s="372">
        <v>6000000</v>
      </c>
      <c r="L115" s="372">
        <f t="shared" si="22"/>
        <v>6000000</v>
      </c>
      <c r="M115" s="374"/>
      <c r="N115" s="372">
        <f t="shared" si="26"/>
        <v>0</v>
      </c>
      <c r="O115" s="374"/>
      <c r="P115" s="372">
        <f t="shared" si="24"/>
        <v>6000000</v>
      </c>
      <c r="Q115" s="375"/>
    </row>
    <row r="116" spans="1:17" ht="45" customHeight="1" hidden="1" outlineLevel="5">
      <c r="A116" s="376" t="s">
        <v>220</v>
      </c>
      <c r="B116" s="377"/>
      <c r="C116" s="370" t="s">
        <v>221</v>
      </c>
      <c r="D116" s="371" t="s">
        <v>220</v>
      </c>
      <c r="E116" s="372"/>
      <c r="F116" s="372"/>
      <c r="G116" s="373">
        <f t="shared" si="25"/>
        <v>0</v>
      </c>
      <c r="H116" s="374" t="e">
        <f t="shared" si="21"/>
        <v>#DIV/0!</v>
      </c>
      <c r="I116" s="372"/>
      <c r="J116" s="372"/>
      <c r="K116" s="372"/>
      <c r="L116" s="372">
        <f t="shared" si="22"/>
        <v>0</v>
      </c>
      <c r="M116" s="374" t="e">
        <f aca="true" t="shared" si="27" ref="M116:M125">I116/G116</f>
        <v>#DIV/0!</v>
      </c>
      <c r="N116" s="372">
        <f t="shared" si="26"/>
        <v>0</v>
      </c>
      <c r="O116" s="374" t="e">
        <f t="shared" si="14"/>
        <v>#DIV/0!</v>
      </c>
      <c r="P116" s="372">
        <f t="shared" si="24"/>
        <v>0</v>
      </c>
      <c r="Q116" s="375" t="s">
        <v>222</v>
      </c>
    </row>
    <row r="117" spans="1:17" ht="117" customHeight="1" hidden="1" outlineLevel="5">
      <c r="A117" s="376" t="s">
        <v>223</v>
      </c>
      <c r="B117" s="380" t="s">
        <v>224</v>
      </c>
      <c r="C117" s="381" t="s">
        <v>225</v>
      </c>
      <c r="D117" s="382" t="s">
        <v>223</v>
      </c>
      <c r="E117" s="383">
        <v>5165454.72</v>
      </c>
      <c r="F117" s="383">
        <v>3233827.3</v>
      </c>
      <c r="G117" s="384">
        <f t="shared" si="25"/>
        <v>-1931627.42</v>
      </c>
      <c r="H117" s="385">
        <f t="shared" si="21"/>
        <v>0.6260489105594174</v>
      </c>
      <c r="I117" s="383">
        <f>4745840.52+1000000</f>
        <v>5745840.52</v>
      </c>
      <c r="J117" s="383">
        <v>913882.48</v>
      </c>
      <c r="K117" s="383">
        <v>4519928.43</v>
      </c>
      <c r="L117" s="383">
        <f t="shared" si="22"/>
        <v>3606045.9499999997</v>
      </c>
      <c r="M117" s="385">
        <f t="shared" si="27"/>
        <v>-2.9746111804521806</v>
      </c>
      <c r="N117" s="383">
        <f t="shared" si="26"/>
        <v>-1225912.0899999999</v>
      </c>
      <c r="O117" s="385">
        <f t="shared" si="14"/>
        <v>0.7866435579384998</v>
      </c>
      <c r="P117" s="383">
        <f t="shared" si="24"/>
        <v>1286101.13</v>
      </c>
      <c r="Q117" s="386" t="s">
        <v>287</v>
      </c>
    </row>
    <row r="118" spans="1:17" ht="47.25" customHeight="1" hidden="1" outlineLevel="5" thickBot="1">
      <c r="A118" s="376"/>
      <c r="B118" s="377" t="s">
        <v>226</v>
      </c>
      <c r="C118" s="387" t="s">
        <v>227</v>
      </c>
      <c r="D118" s="388"/>
      <c r="E118" s="389">
        <v>1591704</v>
      </c>
      <c r="F118" s="389">
        <v>1591704</v>
      </c>
      <c r="G118" s="390">
        <f t="shared" si="25"/>
        <v>0</v>
      </c>
      <c r="H118" s="391">
        <f t="shared" si="21"/>
        <v>1</v>
      </c>
      <c r="I118" s="389">
        <v>1289000</v>
      </c>
      <c r="J118" s="389"/>
      <c r="K118" s="389">
        <v>1289000</v>
      </c>
      <c r="L118" s="383">
        <f t="shared" si="22"/>
        <v>1289000</v>
      </c>
      <c r="M118" s="391" t="e">
        <f t="shared" si="27"/>
        <v>#DIV/0!</v>
      </c>
      <c r="N118" s="383">
        <f t="shared" si="26"/>
        <v>0</v>
      </c>
      <c r="O118" s="391"/>
      <c r="P118" s="383">
        <f t="shared" si="24"/>
        <v>-302704</v>
      </c>
      <c r="Q118" s="392" t="s">
        <v>269</v>
      </c>
    </row>
    <row r="119" spans="1:17" ht="31.5" customHeight="1" hidden="1" thickBot="1">
      <c r="A119" s="376" t="s">
        <v>228</v>
      </c>
      <c r="B119" s="377" t="s">
        <v>226</v>
      </c>
      <c r="C119" s="424" t="s">
        <v>229</v>
      </c>
      <c r="D119" s="425" t="s">
        <v>228</v>
      </c>
      <c r="E119" s="426">
        <f>E120+E124+E125+E126+E127+E128</f>
        <v>3087425772.07</v>
      </c>
      <c r="F119" s="426">
        <f>F120+F124+F125+F126+F127+F128</f>
        <v>1472247111.5499997</v>
      </c>
      <c r="G119" s="427">
        <f t="shared" si="25"/>
        <v>-1615178660.5200005</v>
      </c>
      <c r="H119" s="428">
        <f t="shared" si="21"/>
        <v>0.4768526339543103</v>
      </c>
      <c r="I119" s="426">
        <f>I120+I124+I125+I126+I127+I128</f>
        <v>2536675142.27</v>
      </c>
      <c r="J119" s="426" t="s">
        <v>230</v>
      </c>
      <c r="K119" s="426">
        <f>K120+K124+K125+K126+K127+K128</f>
        <v>1294826540.86</v>
      </c>
      <c r="L119" s="426" t="s">
        <v>230</v>
      </c>
      <c r="M119" s="428">
        <f t="shared" si="27"/>
        <v>-1.570522942306164</v>
      </c>
      <c r="N119" s="426">
        <f>N120+N124+N125+N128</f>
        <v>-1173294298.98</v>
      </c>
      <c r="O119" s="428">
        <f t="shared" si="14"/>
        <v>0.5104423973269575</v>
      </c>
      <c r="P119" s="426">
        <f t="shared" si="24"/>
        <v>-177420570.68999982</v>
      </c>
      <c r="Q119" s="429"/>
    </row>
    <row r="120" spans="1:17" ht="39.75" customHeight="1" hidden="1" outlineLevel="2">
      <c r="A120" s="376" t="s">
        <v>231</v>
      </c>
      <c r="B120" s="377" t="s">
        <v>232</v>
      </c>
      <c r="C120" s="393" t="s">
        <v>233</v>
      </c>
      <c r="D120" s="394" t="s">
        <v>231</v>
      </c>
      <c r="E120" s="395">
        <v>473098326.55</v>
      </c>
      <c r="F120" s="395">
        <v>257860452.77</v>
      </c>
      <c r="G120" s="396">
        <f t="shared" si="25"/>
        <v>-215237873.78</v>
      </c>
      <c r="H120" s="397">
        <f t="shared" si="21"/>
        <v>0.545046216185987</v>
      </c>
      <c r="I120" s="395">
        <v>508358928.62</v>
      </c>
      <c r="J120" s="395" t="s">
        <v>230</v>
      </c>
      <c r="K120" s="395">
        <v>300984643.62</v>
      </c>
      <c r="L120" s="395" t="s">
        <v>230</v>
      </c>
      <c r="M120" s="397">
        <f t="shared" si="27"/>
        <v>-2.3618470099718896</v>
      </c>
      <c r="N120" s="383">
        <f aca="true" t="shared" si="28" ref="N120:N127">K120-I120</f>
        <v>-207374285</v>
      </c>
      <c r="O120" s="397">
        <f t="shared" si="14"/>
        <v>0.5920711266684312</v>
      </c>
      <c r="P120" s="395">
        <f t="shared" si="24"/>
        <v>43124190.849999994</v>
      </c>
      <c r="Q120" s="398"/>
    </row>
    <row r="121" spans="1:17" ht="42.75" customHeight="1" hidden="1" outlineLevel="3">
      <c r="A121" s="376" t="s">
        <v>234</v>
      </c>
      <c r="B121" s="377"/>
      <c r="C121" s="370" t="s">
        <v>235</v>
      </c>
      <c r="D121" s="371" t="s">
        <v>234</v>
      </c>
      <c r="E121" s="372"/>
      <c r="F121" s="372"/>
      <c r="G121" s="396">
        <f t="shared" si="25"/>
        <v>0</v>
      </c>
      <c r="H121" s="397" t="e">
        <f t="shared" si="21"/>
        <v>#DIV/0!</v>
      </c>
      <c r="I121" s="372"/>
      <c r="J121" s="372"/>
      <c r="K121" s="372"/>
      <c r="L121" s="372"/>
      <c r="M121" s="397" t="e">
        <f t="shared" si="27"/>
        <v>#DIV/0!</v>
      </c>
      <c r="N121" s="383">
        <f t="shared" si="28"/>
        <v>0</v>
      </c>
      <c r="O121" s="397" t="e">
        <f t="shared" si="14"/>
        <v>#DIV/0!</v>
      </c>
      <c r="P121" s="395">
        <f t="shared" si="24"/>
        <v>0</v>
      </c>
      <c r="Q121" s="399"/>
    </row>
    <row r="122" spans="1:17" ht="71.25" customHeight="1" hidden="1" outlineLevel="4">
      <c r="A122" s="376" t="s">
        <v>236</v>
      </c>
      <c r="B122" s="377"/>
      <c r="C122" s="370" t="s">
        <v>237</v>
      </c>
      <c r="D122" s="371" t="s">
        <v>236</v>
      </c>
      <c r="E122" s="372"/>
      <c r="F122" s="372"/>
      <c r="G122" s="396">
        <f t="shared" si="25"/>
        <v>0</v>
      </c>
      <c r="H122" s="397" t="e">
        <f t="shared" si="21"/>
        <v>#DIV/0!</v>
      </c>
      <c r="I122" s="372"/>
      <c r="J122" s="372"/>
      <c r="K122" s="372"/>
      <c r="L122" s="372"/>
      <c r="M122" s="397" t="e">
        <f t="shared" si="27"/>
        <v>#DIV/0!</v>
      </c>
      <c r="N122" s="383">
        <f t="shared" si="28"/>
        <v>0</v>
      </c>
      <c r="O122" s="397" t="e">
        <f t="shared" si="14"/>
        <v>#DIV/0!</v>
      </c>
      <c r="P122" s="395">
        <f t="shared" si="24"/>
        <v>0</v>
      </c>
      <c r="Q122" s="399"/>
    </row>
    <row r="123" spans="1:17" ht="71.25" customHeight="1" hidden="1" outlineLevel="5">
      <c r="A123" s="376" t="s">
        <v>236</v>
      </c>
      <c r="B123" s="377"/>
      <c r="C123" s="370" t="s">
        <v>238</v>
      </c>
      <c r="D123" s="371" t="s">
        <v>236</v>
      </c>
      <c r="E123" s="372"/>
      <c r="F123" s="372"/>
      <c r="G123" s="396">
        <f t="shared" si="25"/>
        <v>0</v>
      </c>
      <c r="H123" s="397" t="e">
        <f t="shared" si="21"/>
        <v>#DIV/0!</v>
      </c>
      <c r="I123" s="372"/>
      <c r="J123" s="372"/>
      <c r="K123" s="372"/>
      <c r="L123" s="372"/>
      <c r="M123" s="397" t="e">
        <f t="shared" si="27"/>
        <v>#DIV/0!</v>
      </c>
      <c r="N123" s="383">
        <f t="shared" si="28"/>
        <v>0</v>
      </c>
      <c r="O123" s="397" t="e">
        <f t="shared" si="14"/>
        <v>#DIV/0!</v>
      </c>
      <c r="P123" s="395">
        <f t="shared" si="24"/>
        <v>0</v>
      </c>
      <c r="Q123" s="399"/>
    </row>
    <row r="124" spans="1:17" ht="21" customHeight="1" hidden="1" outlineLevel="2" collapsed="1">
      <c r="A124" s="376" t="s">
        <v>239</v>
      </c>
      <c r="B124" s="377" t="s">
        <v>240</v>
      </c>
      <c r="C124" s="370" t="s">
        <v>241</v>
      </c>
      <c r="D124" s="371" t="s">
        <v>242</v>
      </c>
      <c r="E124" s="400">
        <v>1985905932.37</v>
      </c>
      <c r="F124" s="400">
        <v>867176693.05</v>
      </c>
      <c r="G124" s="396">
        <f t="shared" si="25"/>
        <v>-1118729239.32</v>
      </c>
      <c r="H124" s="397">
        <f t="shared" si="21"/>
        <v>0.436665543375009</v>
      </c>
      <c r="I124" s="372">
        <v>1360692967.97</v>
      </c>
      <c r="J124" s="395" t="s">
        <v>230</v>
      </c>
      <c r="K124" s="400">
        <v>616464859.3</v>
      </c>
      <c r="L124" s="395" t="s">
        <v>230</v>
      </c>
      <c r="M124" s="397">
        <f t="shared" si="27"/>
        <v>-1.2162844414409635</v>
      </c>
      <c r="N124" s="383">
        <f t="shared" si="28"/>
        <v>-744228108.6700001</v>
      </c>
      <c r="O124" s="397">
        <f t="shared" si="14"/>
        <v>0.4530521387346447</v>
      </c>
      <c r="P124" s="395">
        <f t="shared" si="24"/>
        <v>-250711833.75</v>
      </c>
      <c r="Q124" s="399"/>
    </row>
    <row r="125" spans="1:17" ht="22.5" customHeight="1" hidden="1" outlineLevel="5">
      <c r="A125" s="376" t="s">
        <v>243</v>
      </c>
      <c r="B125" s="377" t="s">
        <v>244</v>
      </c>
      <c r="C125" s="370" t="s">
        <v>245</v>
      </c>
      <c r="D125" s="371" t="s">
        <v>246</v>
      </c>
      <c r="E125" s="372">
        <v>520683169.05</v>
      </c>
      <c r="F125" s="372">
        <v>303670042.49</v>
      </c>
      <c r="G125" s="396">
        <f t="shared" si="25"/>
        <v>-217013126.56</v>
      </c>
      <c r="H125" s="397">
        <f t="shared" si="21"/>
        <v>0.583214631354522</v>
      </c>
      <c r="I125" s="372">
        <v>564952483.03</v>
      </c>
      <c r="J125" s="395" t="s">
        <v>230</v>
      </c>
      <c r="K125" s="372">
        <v>343260577.72</v>
      </c>
      <c r="L125" s="395" t="s">
        <v>230</v>
      </c>
      <c r="M125" s="397">
        <f t="shared" si="27"/>
        <v>-2.603310186740254</v>
      </c>
      <c r="N125" s="383">
        <f t="shared" si="28"/>
        <v>-221691905.30999994</v>
      </c>
      <c r="O125" s="397">
        <f t="shared" si="14"/>
        <v>0.6075919445100877</v>
      </c>
      <c r="P125" s="395">
        <f t="shared" si="24"/>
        <v>39590535.23000002</v>
      </c>
      <c r="Q125" s="399"/>
    </row>
    <row r="126" spans="1:17" ht="22.5" customHeight="1" hidden="1" outlineLevel="5">
      <c r="A126" s="376"/>
      <c r="B126" s="377" t="s">
        <v>247</v>
      </c>
      <c r="C126" s="370" t="s">
        <v>248</v>
      </c>
      <c r="D126" s="371"/>
      <c r="E126" s="372">
        <v>110208359.34</v>
      </c>
      <c r="F126" s="372">
        <v>43228146.6</v>
      </c>
      <c r="G126" s="396">
        <f t="shared" si="25"/>
        <v>-66980212.74</v>
      </c>
      <c r="H126" s="397">
        <f t="shared" si="21"/>
        <v>0.39224017904702074</v>
      </c>
      <c r="I126" s="372">
        <v>119974047.4</v>
      </c>
      <c r="J126" s="395" t="s">
        <v>230</v>
      </c>
      <c r="K126" s="372">
        <v>51419744.97</v>
      </c>
      <c r="L126" s="395" t="s">
        <v>230</v>
      </c>
      <c r="M126" s="397"/>
      <c r="N126" s="383">
        <f t="shared" si="28"/>
        <v>-68554302.43</v>
      </c>
      <c r="O126" s="397"/>
      <c r="P126" s="395">
        <f t="shared" si="24"/>
        <v>8191598.369999997</v>
      </c>
      <c r="Q126" s="399"/>
    </row>
    <row r="127" spans="1:17" ht="54" customHeight="1" hidden="1" outlineLevel="5">
      <c r="A127" s="376"/>
      <c r="B127" s="377" t="s">
        <v>249</v>
      </c>
      <c r="C127" s="370" t="s">
        <v>250</v>
      </c>
      <c r="D127" s="371"/>
      <c r="E127" s="383">
        <v>1669917.56</v>
      </c>
      <c r="F127" s="383">
        <v>605111.56</v>
      </c>
      <c r="G127" s="396"/>
      <c r="H127" s="397"/>
      <c r="I127" s="372">
        <v>936811.59</v>
      </c>
      <c r="J127" s="395" t="s">
        <v>230</v>
      </c>
      <c r="K127" s="383">
        <v>936811.59</v>
      </c>
      <c r="L127" s="395" t="s">
        <v>230</v>
      </c>
      <c r="M127" s="397"/>
      <c r="N127" s="383">
        <f t="shared" si="28"/>
        <v>0</v>
      </c>
      <c r="O127" s="397"/>
      <c r="P127" s="395">
        <f t="shared" si="24"/>
        <v>331700.0299999999</v>
      </c>
      <c r="Q127" s="399"/>
    </row>
    <row r="128" spans="1:17" ht="40.5" customHeight="1" hidden="1" outlineLevel="1">
      <c r="A128" s="376" t="s">
        <v>251</v>
      </c>
      <c r="B128" s="377" t="s">
        <v>252</v>
      </c>
      <c r="C128" s="370" t="s">
        <v>253</v>
      </c>
      <c r="D128" s="371" t="s">
        <v>251</v>
      </c>
      <c r="E128" s="383">
        <v>-4139932.8</v>
      </c>
      <c r="F128" s="383">
        <v>-293334.92</v>
      </c>
      <c r="G128" s="396">
        <f t="shared" si="25"/>
        <v>3846597.88</v>
      </c>
      <c r="H128" s="397">
        <f t="shared" si="21"/>
        <v>0.07085499552070024</v>
      </c>
      <c r="I128" s="372">
        <v>-18240096.34</v>
      </c>
      <c r="J128" s="395" t="s">
        <v>230</v>
      </c>
      <c r="K128" s="383">
        <v>-18240096.34</v>
      </c>
      <c r="L128" s="395" t="s">
        <v>230</v>
      </c>
      <c r="M128" s="374"/>
      <c r="N128" s="383">
        <f>K128-I128</f>
        <v>0</v>
      </c>
      <c r="O128" s="374"/>
      <c r="P128" s="395">
        <f t="shared" si="24"/>
        <v>-17946761.419999998</v>
      </c>
      <c r="Q128" s="399"/>
    </row>
    <row r="129" spans="1:17" ht="23.25" customHeight="1" hidden="1">
      <c r="A129" s="496" t="s">
        <v>254</v>
      </c>
      <c r="B129" s="497"/>
      <c r="C129" s="498"/>
      <c r="D129" s="499"/>
      <c r="E129" s="430">
        <f>E119+E9</f>
        <v>3513539007.31</v>
      </c>
      <c r="F129" s="430">
        <f>F119+F9</f>
        <v>1472247331.3499997</v>
      </c>
      <c r="G129" s="431">
        <f>F129-E129</f>
        <v>-2041291675.9600003</v>
      </c>
      <c r="H129" s="432">
        <f>F129/E129</f>
        <v>0.4190212000740435</v>
      </c>
      <c r="I129" s="433">
        <f>I119+I9</f>
        <v>2536675142.27</v>
      </c>
      <c r="J129" s="395" t="s">
        <v>230</v>
      </c>
      <c r="K129" s="430">
        <f>K119+K9</f>
        <v>1294826805.1599998</v>
      </c>
      <c r="L129" s="395" t="s">
        <v>230</v>
      </c>
      <c r="M129" s="432">
        <f>I129/G129</f>
        <v>-1.2426813728503672</v>
      </c>
      <c r="N129" s="430">
        <f>N119+N9</f>
        <v>-1173294034.68</v>
      </c>
      <c r="O129" s="432">
        <f>K129/I129</f>
        <v>0.5104425015184623</v>
      </c>
      <c r="P129" s="383">
        <f>K129-F129</f>
        <v>-177420526.18999982</v>
      </c>
      <c r="Q129" s="434"/>
    </row>
    <row r="130" spans="1:17" ht="24.75" customHeight="1" hidden="1">
      <c r="A130" s="401"/>
      <c r="B130" s="402">
        <v>46</v>
      </c>
      <c r="C130" s="435" t="s">
        <v>255</v>
      </c>
      <c r="D130" s="403"/>
      <c r="E130" s="404">
        <v>39027</v>
      </c>
      <c r="F130" s="404">
        <v>2604.96</v>
      </c>
      <c r="G130" s="405"/>
      <c r="H130" s="432"/>
      <c r="I130" s="406"/>
      <c r="J130" s="406"/>
      <c r="K130" s="404">
        <v>-39027</v>
      </c>
      <c r="L130" s="406"/>
      <c r="M130" s="432"/>
      <c r="N130" s="404"/>
      <c r="O130" s="432"/>
      <c r="P130" s="407"/>
      <c r="Q130" s="408"/>
    </row>
    <row r="131" spans="1:17" ht="26.25" customHeight="1" hidden="1" thickBot="1">
      <c r="A131" s="436"/>
      <c r="B131" s="437"/>
      <c r="C131" s="437"/>
      <c r="D131" s="437"/>
      <c r="E131" s="438">
        <f>E129++E130</f>
        <v>3513578034.31</v>
      </c>
      <c r="F131" s="438">
        <f>F129++F130</f>
        <v>1472249936.3099997</v>
      </c>
      <c r="G131" s="439">
        <f>F131-E131</f>
        <v>-2041328098.0000002</v>
      </c>
      <c r="H131" s="440">
        <f>F131/E131</f>
        <v>0.4190172872022527</v>
      </c>
      <c r="I131" s="441">
        <f>I129++I130</f>
        <v>2536675142.27</v>
      </c>
      <c r="J131" s="442" t="s">
        <v>230</v>
      </c>
      <c r="K131" s="438">
        <f>K129++K130</f>
        <v>1294787778.1599998</v>
      </c>
      <c r="L131" s="438" t="s">
        <v>230</v>
      </c>
      <c r="M131" s="440">
        <f>I131/G131</f>
        <v>-1.2426592005250494</v>
      </c>
      <c r="N131" s="438">
        <f>N129++N130</f>
        <v>-1173294034.68</v>
      </c>
      <c r="O131" s="440">
        <f>K131/I131</f>
        <v>0.5104271164187505</v>
      </c>
      <c r="P131" s="439">
        <f>K131-F131</f>
        <v>-177462158.14999986</v>
      </c>
      <c r="Q131" s="443"/>
    </row>
    <row r="132" ht="23.25">
      <c r="E132" s="409"/>
    </row>
    <row r="135" ht="23.25">
      <c r="E135" s="409"/>
    </row>
  </sheetData>
  <sheetProtection/>
  <mergeCells count="7">
    <mergeCell ref="A129:D129"/>
    <mergeCell ref="A1:D1"/>
    <mergeCell ref="A2:D2"/>
    <mergeCell ref="A3:E3"/>
    <mergeCell ref="A4:Q4"/>
    <mergeCell ref="A5:D5"/>
    <mergeCell ref="A6:Q6"/>
  </mergeCells>
  <printOptions horizontalCentered="1"/>
  <pageMargins left="0" right="0" top="0.1968503937007874" bottom="0" header="0.3937007874015748" footer="0.3937007874015748"/>
  <pageSetup blackAndWhite="1" errors="blank" fitToHeight="0" fitToWidth="1" horizontalDpi="600" verticalDpi="600" orientation="landscape" paperSize="9" scale="86" r:id="rId1"/>
  <rowBreaks count="1" manualBreakCount="1">
    <brk id="130" max="16" man="1"/>
  </rowBreaks>
</worksheet>
</file>

<file path=xl/worksheets/sheet6.xml><?xml version="1.0" encoding="utf-8"?>
<worksheet xmlns="http://schemas.openxmlformats.org/spreadsheetml/2006/main" xmlns:r="http://schemas.openxmlformats.org/officeDocument/2006/relationships">
  <sheetPr>
    <tabColor theme="0" tint="-0.04997999966144562"/>
    <pageSetUpPr fitToPage="1"/>
  </sheetPr>
  <dimension ref="A1:Q137"/>
  <sheetViews>
    <sheetView showGridLines="0" showZeros="0" view="pageBreakPreview" zoomScale="85" zoomScaleNormal="75" zoomScaleSheetLayoutView="85" zoomScalePageLayoutView="0" workbookViewId="0" topLeftCell="B1">
      <pane ySplit="9" topLeftCell="A10" activePane="bottomLeft" state="frozen"/>
      <selection pane="topLeft" activeCell="A1" sqref="A1"/>
      <selection pane="bottomLeft" activeCell="P52" sqref="P52"/>
    </sheetView>
  </sheetViews>
  <sheetFormatPr defaultColWidth="9.140625" defaultRowHeight="15" outlineLevelRow="5"/>
  <cols>
    <col min="1" max="1" width="9.140625" style="1" hidden="1" customWidth="1"/>
    <col min="2" max="2" width="5.28125" style="1" customWidth="1"/>
    <col min="3" max="3" width="27.421875" style="2" customWidth="1"/>
    <col min="4" max="4" width="18.00390625" style="1" hidden="1" customWidth="1"/>
    <col min="5" max="6" width="21.421875" style="1" bestFit="1" customWidth="1"/>
    <col min="7" max="7" width="20.57421875" style="1" customWidth="1"/>
    <col min="8" max="8" width="10.28125" style="1" customWidth="1"/>
    <col min="9" max="9" width="20.28125" style="1" customWidth="1"/>
    <col min="10" max="10" width="17.57421875" style="1" hidden="1" customWidth="1"/>
    <col min="11" max="11" width="21.421875" style="1" bestFit="1" customWidth="1"/>
    <col min="12" max="12" width="19.140625" style="1" hidden="1" customWidth="1"/>
    <col min="13" max="13" width="14.28125" style="1" hidden="1" customWidth="1"/>
    <col min="14" max="14" width="21.140625" style="1" customWidth="1"/>
    <col min="15" max="15" width="13.8515625" style="1" customWidth="1"/>
    <col min="16" max="16" width="19.28125" style="1" customWidth="1"/>
    <col min="17" max="17" width="50.28125" style="2" bestFit="1" customWidth="1"/>
    <col min="18" max="16384" width="9.140625" style="1" customWidth="1"/>
  </cols>
  <sheetData>
    <row r="1" spans="1:4" ht="13.5" customHeight="1">
      <c r="A1" s="535" t="s">
        <v>0</v>
      </c>
      <c r="B1" s="535"/>
      <c r="C1" s="536"/>
      <c r="D1" s="536"/>
    </row>
    <row r="2" spans="1:4" ht="15" customHeight="1" hidden="1">
      <c r="A2" s="535"/>
      <c r="B2" s="535"/>
      <c r="C2" s="536"/>
      <c r="D2" s="536"/>
    </row>
    <row r="3" spans="1:5" ht="18" customHeight="1">
      <c r="A3" s="537"/>
      <c r="B3" s="537"/>
      <c r="C3" s="537"/>
      <c r="D3" s="537"/>
      <c r="E3" s="537"/>
    </row>
    <row r="4" spans="1:17" ht="15" customHeight="1">
      <c r="A4" s="538" t="s">
        <v>298</v>
      </c>
      <c r="B4" s="538"/>
      <c r="C4" s="538"/>
      <c r="D4" s="538"/>
      <c r="E4" s="538"/>
      <c r="F4" s="538"/>
      <c r="G4" s="538"/>
      <c r="H4" s="538"/>
      <c r="I4" s="538"/>
      <c r="J4" s="538"/>
      <c r="K4" s="538"/>
      <c r="L4" s="538"/>
      <c r="M4" s="538"/>
      <c r="N4" s="538"/>
      <c r="O4" s="538"/>
      <c r="P4" s="538"/>
      <c r="Q4" s="538"/>
    </row>
    <row r="5" spans="1:4" ht="0.75" customHeight="1">
      <c r="A5" s="539"/>
      <c r="B5" s="539"/>
      <c r="C5" s="540"/>
      <c r="D5" s="540"/>
    </row>
    <row r="6" spans="1:17" ht="12.75" customHeight="1" thickBot="1">
      <c r="A6" s="541" t="s">
        <v>1</v>
      </c>
      <c r="B6" s="541"/>
      <c r="C6" s="541"/>
      <c r="D6" s="541"/>
      <c r="E6" s="541"/>
      <c r="F6" s="541"/>
      <c r="G6" s="541"/>
      <c r="H6" s="541"/>
      <c r="I6" s="541"/>
      <c r="J6" s="541"/>
      <c r="K6" s="541"/>
      <c r="L6" s="541"/>
      <c r="M6" s="541"/>
      <c r="N6" s="541"/>
      <c r="O6" s="541"/>
      <c r="P6" s="541"/>
      <c r="Q6" s="541"/>
    </row>
    <row r="7" spans="1:17" s="4" customFormat="1" ht="24" customHeight="1">
      <c r="A7" s="3"/>
      <c r="B7" s="524"/>
      <c r="C7" s="525" t="s">
        <v>2</v>
      </c>
      <c r="D7" s="527" t="s">
        <v>3</v>
      </c>
      <c r="E7" s="530">
        <v>2022</v>
      </c>
      <c r="F7" s="530"/>
      <c r="G7" s="530"/>
      <c r="H7" s="531"/>
      <c r="I7" s="532">
        <v>2023</v>
      </c>
      <c r="J7" s="530"/>
      <c r="K7" s="530"/>
      <c r="L7" s="530"/>
      <c r="M7" s="530"/>
      <c r="N7" s="530"/>
      <c r="O7" s="531"/>
      <c r="P7" s="533" t="s">
        <v>262</v>
      </c>
      <c r="Q7" s="510" t="s">
        <v>4</v>
      </c>
    </row>
    <row r="8" spans="1:17" s="4" customFormat="1" ht="24" customHeight="1">
      <c r="A8" s="512" t="s">
        <v>5</v>
      </c>
      <c r="B8" s="524"/>
      <c r="C8" s="526"/>
      <c r="D8" s="528"/>
      <c r="E8" s="514" t="s">
        <v>261</v>
      </c>
      <c r="F8" s="516" t="s">
        <v>297</v>
      </c>
      <c r="G8" s="514" t="s">
        <v>6</v>
      </c>
      <c r="H8" s="519" t="s">
        <v>7</v>
      </c>
      <c r="I8" s="516" t="s">
        <v>8</v>
      </c>
      <c r="J8" s="516" t="s">
        <v>9</v>
      </c>
      <c r="K8" s="521" t="s">
        <v>297</v>
      </c>
      <c r="L8" s="523" t="s">
        <v>10</v>
      </c>
      <c r="M8" s="516" t="s">
        <v>11</v>
      </c>
      <c r="N8" s="523" t="s">
        <v>12</v>
      </c>
      <c r="O8" s="516" t="s">
        <v>13</v>
      </c>
      <c r="P8" s="534"/>
      <c r="Q8" s="511"/>
    </row>
    <row r="9" spans="1:17" s="4" customFormat="1" ht="57.75" customHeight="1">
      <c r="A9" s="513"/>
      <c r="B9" s="524"/>
      <c r="C9" s="526"/>
      <c r="D9" s="529"/>
      <c r="E9" s="515"/>
      <c r="F9" s="517"/>
      <c r="G9" s="518"/>
      <c r="H9" s="520"/>
      <c r="I9" s="517"/>
      <c r="J9" s="517"/>
      <c r="K9" s="522"/>
      <c r="L9" s="518"/>
      <c r="M9" s="517"/>
      <c r="N9" s="518"/>
      <c r="O9" s="517"/>
      <c r="P9" s="534"/>
      <c r="Q9" s="511"/>
    </row>
    <row r="10" spans="1:17" s="4" customFormat="1" ht="21" customHeight="1">
      <c r="A10" s="346"/>
      <c r="B10" s="6"/>
      <c r="C10" s="7">
        <v>1</v>
      </c>
      <c r="D10" s="347">
        <v>2</v>
      </c>
      <c r="E10" s="347">
        <v>9</v>
      </c>
      <c r="F10" s="347">
        <v>9</v>
      </c>
      <c r="G10" s="347">
        <v>5</v>
      </c>
      <c r="H10" s="347">
        <v>6</v>
      </c>
      <c r="I10" s="347">
        <v>7</v>
      </c>
      <c r="J10" s="347">
        <v>8</v>
      </c>
      <c r="K10" s="347">
        <v>9</v>
      </c>
      <c r="L10" s="347">
        <v>10</v>
      </c>
      <c r="M10" s="347">
        <v>11</v>
      </c>
      <c r="N10" s="347">
        <v>12</v>
      </c>
      <c r="O10" s="347">
        <v>13</v>
      </c>
      <c r="P10" s="347">
        <v>14</v>
      </c>
      <c r="Q10" s="347">
        <v>15</v>
      </c>
    </row>
    <row r="11" spans="1:17" s="16" customFormat="1" ht="33" customHeight="1" thickBot="1">
      <c r="A11" s="9" t="s">
        <v>14</v>
      </c>
      <c r="B11" s="10" t="s">
        <v>15</v>
      </c>
      <c r="C11" s="11" t="s">
        <v>16</v>
      </c>
      <c r="D11" s="12" t="s">
        <v>14</v>
      </c>
      <c r="E11" s="13">
        <f>E12+E80</f>
        <v>426113235.23999995</v>
      </c>
      <c r="F11" s="13">
        <f>F12+F80</f>
        <v>219798669.68</v>
      </c>
      <c r="G11" s="13">
        <f>F11-E11</f>
        <v>-206314565.55999994</v>
      </c>
      <c r="H11" s="14">
        <f>F11/E11</f>
        <v>0.5158222075787031</v>
      </c>
      <c r="I11" s="13">
        <f>I12+I80</f>
        <v>439109759.72</v>
      </c>
      <c r="J11" s="13">
        <f>J12+J80</f>
        <v>16636685.38</v>
      </c>
      <c r="K11" s="13">
        <f>K12+K80</f>
        <v>264336286.14999998</v>
      </c>
      <c r="L11" s="13">
        <f>K11-J11</f>
        <v>247699600.76999998</v>
      </c>
      <c r="M11" s="14">
        <f>K11/J11</f>
        <v>15.888759095473137</v>
      </c>
      <c r="N11" s="13">
        <f>K11-I11</f>
        <v>-174773473.57000005</v>
      </c>
      <c r="O11" s="14">
        <f>K11/I11</f>
        <v>0.6019822613793758</v>
      </c>
      <c r="P11" s="13">
        <f>K11-F11</f>
        <v>44537616.46999997</v>
      </c>
      <c r="Q11" s="15"/>
    </row>
    <row r="12" spans="1:17" s="16" customFormat="1" ht="33" customHeight="1">
      <c r="A12" s="9"/>
      <c r="B12" s="17" t="s">
        <v>17</v>
      </c>
      <c r="C12" s="18" t="s">
        <v>18</v>
      </c>
      <c r="D12" s="19"/>
      <c r="E12" s="20">
        <f>E13+E39+E40+E62+E66+E76</f>
        <v>352618682.34999996</v>
      </c>
      <c r="F12" s="20">
        <f>F13+F39+F40+F62+F66+F76</f>
        <v>182642329.32</v>
      </c>
      <c r="G12" s="20">
        <f>F12-E12</f>
        <v>-169976353.02999997</v>
      </c>
      <c r="H12" s="21">
        <f>F12/E12</f>
        <v>0.5179598769492141</v>
      </c>
      <c r="I12" s="20">
        <f>I13+I39+I40+I62+I66+I76</f>
        <v>309983927.63</v>
      </c>
      <c r="J12" s="20">
        <f>J13+J39+J40+J62+J66+J76</f>
        <v>14406368.9</v>
      </c>
      <c r="K12" s="20">
        <f>K13+K39+K40+K62+K66+K76</f>
        <v>178699162.07</v>
      </c>
      <c r="L12" s="22">
        <f>K12-J12</f>
        <v>164292793.17</v>
      </c>
      <c r="M12" s="21">
        <f>I12/G12</f>
        <v>-1.823688543166292</v>
      </c>
      <c r="N12" s="22">
        <f>K12-I12</f>
        <v>-131284765.56</v>
      </c>
      <c r="O12" s="21">
        <f>K12/I12</f>
        <v>0.5764787982275557</v>
      </c>
      <c r="P12" s="20">
        <f>K12-F12</f>
        <v>-3943167.25</v>
      </c>
      <c r="Q12" s="23"/>
    </row>
    <row r="13" spans="1:17" s="32" customFormat="1" ht="52.5" customHeight="1" outlineLevel="2">
      <c r="A13" s="24" t="s">
        <v>19</v>
      </c>
      <c r="B13" s="25" t="s">
        <v>20</v>
      </c>
      <c r="C13" s="26" t="s">
        <v>21</v>
      </c>
      <c r="D13" s="27" t="s">
        <v>19</v>
      </c>
      <c r="E13" s="141">
        <v>190630093.23</v>
      </c>
      <c r="F13" s="343">
        <v>96951786.19</v>
      </c>
      <c r="G13" s="145">
        <f>F13-E13</f>
        <v>-93678307.03999999</v>
      </c>
      <c r="H13" s="29">
        <f>F13/E13</f>
        <v>0.5085859454153717</v>
      </c>
      <c r="I13" s="28">
        <v>179717500</v>
      </c>
      <c r="J13" s="30">
        <v>8290000</v>
      </c>
      <c r="K13" s="141">
        <v>101114093.1</v>
      </c>
      <c r="L13" s="28">
        <f>K13-J13</f>
        <v>92824093.1</v>
      </c>
      <c r="M13" s="29">
        <f>K13/J13</f>
        <v>12.197116176115802</v>
      </c>
      <c r="N13" s="28">
        <f>K13-I13</f>
        <v>-78603406.9</v>
      </c>
      <c r="O13" s="29">
        <f aca="true" t="shared" si="0" ref="O13:O78">K13/I13</f>
        <v>0.5626279750163451</v>
      </c>
      <c r="P13" s="28">
        <f>K13-F13</f>
        <v>4162306.9099999964</v>
      </c>
      <c r="Q13" s="31" t="s">
        <v>266</v>
      </c>
    </row>
    <row r="14" spans="1:17" s="32" customFormat="1" ht="6.75" customHeight="1" outlineLevel="2">
      <c r="A14" s="24"/>
      <c r="B14" s="33"/>
      <c r="C14" s="34"/>
      <c r="D14" s="35"/>
      <c r="E14" s="42"/>
      <c r="F14" s="39"/>
      <c r="G14" s="146"/>
      <c r="H14" s="38"/>
      <c r="I14" s="36"/>
      <c r="J14" s="142"/>
      <c r="K14" s="142"/>
      <c r="L14" s="36"/>
      <c r="M14" s="38"/>
      <c r="N14" s="36"/>
      <c r="O14" s="38"/>
      <c r="P14" s="36"/>
      <c r="Q14" s="40"/>
    </row>
    <row r="15" spans="1:17" s="32" customFormat="1" ht="15.75" customHeight="1" hidden="1" outlineLevel="3">
      <c r="A15" s="24" t="s">
        <v>22</v>
      </c>
      <c r="B15" s="33"/>
      <c r="C15" s="41" t="s">
        <v>23</v>
      </c>
      <c r="D15" s="143" t="s">
        <v>22</v>
      </c>
      <c r="E15" s="51"/>
      <c r="F15" s="42"/>
      <c r="G15" s="43">
        <f aca="true" t="shared" si="1" ref="G15:G40">F15-E15</f>
        <v>0</v>
      </c>
      <c r="H15" s="44" t="e">
        <f aca="true" t="shared" si="2" ref="H15:H40">F15/E15</f>
        <v>#DIV/0!</v>
      </c>
      <c r="I15" s="42">
        <v>148555700</v>
      </c>
      <c r="J15" s="42"/>
      <c r="K15" s="42"/>
      <c r="L15" s="42"/>
      <c r="M15" s="45" t="e">
        <f aca="true" t="shared" si="3" ref="M15:M75">I15/G15</f>
        <v>#DIV/0!</v>
      </c>
      <c r="N15" s="42"/>
      <c r="O15" s="45">
        <f t="shared" si="0"/>
        <v>0</v>
      </c>
      <c r="P15" s="46">
        <f aca="true" t="shared" si="4" ref="P15:P40">K15-F15</f>
        <v>0</v>
      </c>
      <c r="Q15" s="47"/>
    </row>
    <row r="16" spans="1:17" s="32" customFormat="1" ht="210" customHeight="1" hidden="1" outlineLevel="4">
      <c r="A16" s="24" t="s">
        <v>24</v>
      </c>
      <c r="B16" s="48"/>
      <c r="C16" s="49" t="s">
        <v>25</v>
      </c>
      <c r="D16" s="144" t="s">
        <v>24</v>
      </c>
      <c r="E16" s="51"/>
      <c r="F16" s="51"/>
      <c r="G16" s="52">
        <f t="shared" si="1"/>
        <v>0</v>
      </c>
      <c r="H16" s="53" t="e">
        <f t="shared" si="2"/>
        <v>#DIV/0!</v>
      </c>
      <c r="I16" s="51">
        <v>148555700</v>
      </c>
      <c r="J16" s="51"/>
      <c r="K16" s="51"/>
      <c r="L16" s="51"/>
      <c r="M16" s="54" t="e">
        <f t="shared" si="3"/>
        <v>#DIV/0!</v>
      </c>
      <c r="N16" s="51"/>
      <c r="O16" s="54">
        <f t="shared" si="0"/>
        <v>0</v>
      </c>
      <c r="P16" s="55">
        <f t="shared" si="4"/>
        <v>0</v>
      </c>
      <c r="Q16" s="56"/>
    </row>
    <row r="17" spans="1:17" s="32" customFormat="1" ht="210" customHeight="1" hidden="1" outlineLevel="5">
      <c r="A17" s="24" t="s">
        <v>24</v>
      </c>
      <c r="B17" s="48"/>
      <c r="C17" s="49" t="s">
        <v>26</v>
      </c>
      <c r="D17" s="144" t="s">
        <v>24</v>
      </c>
      <c r="E17" s="51"/>
      <c r="F17" s="51"/>
      <c r="G17" s="52">
        <f t="shared" si="1"/>
        <v>0</v>
      </c>
      <c r="H17" s="53" t="e">
        <f t="shared" si="2"/>
        <v>#DIV/0!</v>
      </c>
      <c r="I17" s="51">
        <v>148555700</v>
      </c>
      <c r="J17" s="51"/>
      <c r="K17" s="51"/>
      <c r="L17" s="51"/>
      <c r="M17" s="54" t="e">
        <f t="shared" si="3"/>
        <v>#DIV/0!</v>
      </c>
      <c r="N17" s="51"/>
      <c r="O17" s="54">
        <f t="shared" si="0"/>
        <v>0</v>
      </c>
      <c r="P17" s="55">
        <f t="shared" si="4"/>
        <v>0</v>
      </c>
      <c r="Q17" s="56"/>
    </row>
    <row r="18" spans="1:17" s="32" customFormat="1" ht="210" customHeight="1" hidden="1" outlineLevel="5">
      <c r="A18" s="24" t="s">
        <v>27</v>
      </c>
      <c r="B18" s="48"/>
      <c r="C18" s="49" t="s">
        <v>28</v>
      </c>
      <c r="D18" s="144" t="s">
        <v>27</v>
      </c>
      <c r="E18" s="51"/>
      <c r="F18" s="51"/>
      <c r="G18" s="52">
        <f t="shared" si="1"/>
        <v>0</v>
      </c>
      <c r="H18" s="53" t="e">
        <f t="shared" si="2"/>
        <v>#DIV/0!</v>
      </c>
      <c r="I18" s="51">
        <v>0</v>
      </c>
      <c r="J18" s="51"/>
      <c r="K18" s="51"/>
      <c r="L18" s="51"/>
      <c r="M18" s="54" t="e">
        <f t="shared" si="3"/>
        <v>#DIV/0!</v>
      </c>
      <c r="N18" s="51"/>
      <c r="O18" s="54" t="e">
        <f t="shared" si="0"/>
        <v>#DIV/0!</v>
      </c>
      <c r="P18" s="55">
        <f t="shared" si="4"/>
        <v>0</v>
      </c>
      <c r="Q18" s="56"/>
    </row>
    <row r="19" spans="1:17" s="32" customFormat="1" ht="210" customHeight="1" hidden="1" outlineLevel="5">
      <c r="A19" s="24" t="s">
        <v>29</v>
      </c>
      <c r="B19" s="48"/>
      <c r="C19" s="49" t="s">
        <v>26</v>
      </c>
      <c r="D19" s="144" t="s">
        <v>29</v>
      </c>
      <c r="E19" s="51"/>
      <c r="F19" s="51"/>
      <c r="G19" s="52">
        <f t="shared" si="1"/>
        <v>0</v>
      </c>
      <c r="H19" s="53" t="e">
        <f t="shared" si="2"/>
        <v>#DIV/0!</v>
      </c>
      <c r="I19" s="51">
        <v>0</v>
      </c>
      <c r="J19" s="51"/>
      <c r="K19" s="51"/>
      <c r="L19" s="51"/>
      <c r="M19" s="54" t="e">
        <f t="shared" si="3"/>
        <v>#DIV/0!</v>
      </c>
      <c r="N19" s="51"/>
      <c r="O19" s="54" t="e">
        <f t="shared" si="0"/>
        <v>#DIV/0!</v>
      </c>
      <c r="P19" s="55">
        <f t="shared" si="4"/>
        <v>0</v>
      </c>
      <c r="Q19" s="56"/>
    </row>
    <row r="20" spans="1:17" s="32" customFormat="1" ht="210" customHeight="1" hidden="1" outlineLevel="5">
      <c r="A20" s="24" t="s">
        <v>30</v>
      </c>
      <c r="B20" s="48"/>
      <c r="C20" s="49" t="s">
        <v>26</v>
      </c>
      <c r="D20" s="144" t="s">
        <v>30</v>
      </c>
      <c r="E20" s="51"/>
      <c r="F20" s="51"/>
      <c r="G20" s="52">
        <f t="shared" si="1"/>
        <v>0</v>
      </c>
      <c r="H20" s="53" t="e">
        <f t="shared" si="2"/>
        <v>#DIV/0!</v>
      </c>
      <c r="I20" s="51">
        <v>0</v>
      </c>
      <c r="J20" s="51"/>
      <c r="K20" s="51"/>
      <c r="L20" s="51"/>
      <c r="M20" s="54" t="e">
        <f t="shared" si="3"/>
        <v>#DIV/0!</v>
      </c>
      <c r="N20" s="51"/>
      <c r="O20" s="54" t="e">
        <f t="shared" si="0"/>
        <v>#DIV/0!</v>
      </c>
      <c r="P20" s="55">
        <f t="shared" si="4"/>
        <v>0</v>
      </c>
      <c r="Q20" s="56"/>
    </row>
    <row r="21" spans="1:17" s="32" customFormat="1" ht="210" customHeight="1" hidden="1" outlineLevel="5">
      <c r="A21" s="24" t="s">
        <v>31</v>
      </c>
      <c r="B21" s="48"/>
      <c r="C21" s="49" t="s">
        <v>28</v>
      </c>
      <c r="D21" s="144" t="s">
        <v>31</v>
      </c>
      <c r="E21" s="51"/>
      <c r="F21" s="51"/>
      <c r="G21" s="52">
        <f t="shared" si="1"/>
        <v>0</v>
      </c>
      <c r="H21" s="53" t="e">
        <f t="shared" si="2"/>
        <v>#DIV/0!</v>
      </c>
      <c r="I21" s="51">
        <v>0</v>
      </c>
      <c r="J21" s="51"/>
      <c r="K21" s="51"/>
      <c r="L21" s="51"/>
      <c r="M21" s="54" t="e">
        <f t="shared" si="3"/>
        <v>#DIV/0!</v>
      </c>
      <c r="N21" s="51"/>
      <c r="O21" s="54" t="e">
        <f t="shared" si="0"/>
        <v>#DIV/0!</v>
      </c>
      <c r="P21" s="55">
        <f t="shared" si="4"/>
        <v>0</v>
      </c>
      <c r="Q21" s="56"/>
    </row>
    <row r="22" spans="1:17" s="32" customFormat="1" ht="15.75" customHeight="1" hidden="1" outlineLevel="3">
      <c r="A22" s="24" t="s">
        <v>32</v>
      </c>
      <c r="B22" s="48"/>
      <c r="C22" s="49" t="s">
        <v>23</v>
      </c>
      <c r="D22" s="144" t="s">
        <v>32</v>
      </c>
      <c r="E22" s="51"/>
      <c r="F22" s="51"/>
      <c r="G22" s="52">
        <f t="shared" si="1"/>
        <v>0</v>
      </c>
      <c r="H22" s="53" t="e">
        <f t="shared" si="2"/>
        <v>#DIV/0!</v>
      </c>
      <c r="I22" s="51">
        <v>750300</v>
      </c>
      <c r="J22" s="51"/>
      <c r="K22" s="51"/>
      <c r="L22" s="51"/>
      <c r="M22" s="54" t="e">
        <f t="shared" si="3"/>
        <v>#DIV/0!</v>
      </c>
      <c r="N22" s="51"/>
      <c r="O22" s="54">
        <f t="shared" si="0"/>
        <v>0</v>
      </c>
      <c r="P22" s="55">
        <f t="shared" si="4"/>
        <v>0</v>
      </c>
      <c r="Q22" s="56"/>
    </row>
    <row r="23" spans="1:17" s="32" customFormat="1" ht="330" customHeight="1" hidden="1" outlineLevel="4">
      <c r="A23" s="24" t="s">
        <v>33</v>
      </c>
      <c r="B23" s="48"/>
      <c r="C23" s="49" t="s">
        <v>34</v>
      </c>
      <c r="D23" s="144" t="s">
        <v>33</v>
      </c>
      <c r="E23" s="51"/>
      <c r="F23" s="51"/>
      <c r="G23" s="52">
        <f t="shared" si="1"/>
        <v>0</v>
      </c>
      <c r="H23" s="53" t="e">
        <f t="shared" si="2"/>
        <v>#DIV/0!</v>
      </c>
      <c r="I23" s="51">
        <v>750300</v>
      </c>
      <c r="J23" s="51"/>
      <c r="K23" s="51"/>
      <c r="L23" s="51"/>
      <c r="M23" s="54" t="e">
        <f t="shared" si="3"/>
        <v>#DIV/0!</v>
      </c>
      <c r="N23" s="51"/>
      <c r="O23" s="54">
        <f t="shared" si="0"/>
        <v>0</v>
      </c>
      <c r="P23" s="55">
        <f t="shared" si="4"/>
        <v>0</v>
      </c>
      <c r="Q23" s="56"/>
    </row>
    <row r="24" spans="1:17" s="32" customFormat="1" ht="330" customHeight="1" hidden="1" outlineLevel="5">
      <c r="A24" s="24" t="s">
        <v>33</v>
      </c>
      <c r="B24" s="48"/>
      <c r="C24" s="49" t="s">
        <v>35</v>
      </c>
      <c r="D24" s="144" t="s">
        <v>33</v>
      </c>
      <c r="E24" s="51"/>
      <c r="F24" s="51"/>
      <c r="G24" s="52">
        <f t="shared" si="1"/>
        <v>0</v>
      </c>
      <c r="H24" s="53" t="e">
        <f t="shared" si="2"/>
        <v>#DIV/0!</v>
      </c>
      <c r="I24" s="51">
        <v>750300</v>
      </c>
      <c r="J24" s="51"/>
      <c r="K24" s="51"/>
      <c r="L24" s="51"/>
      <c r="M24" s="54" t="e">
        <f t="shared" si="3"/>
        <v>#DIV/0!</v>
      </c>
      <c r="N24" s="51"/>
      <c r="O24" s="54">
        <f t="shared" si="0"/>
        <v>0</v>
      </c>
      <c r="P24" s="55">
        <f t="shared" si="4"/>
        <v>0</v>
      </c>
      <c r="Q24" s="56"/>
    </row>
    <row r="25" spans="1:17" s="32" customFormat="1" ht="330" customHeight="1" hidden="1" outlineLevel="5">
      <c r="A25" s="24" t="s">
        <v>36</v>
      </c>
      <c r="B25" s="48"/>
      <c r="C25" s="49" t="s">
        <v>35</v>
      </c>
      <c r="D25" s="144" t="s">
        <v>36</v>
      </c>
      <c r="E25" s="51"/>
      <c r="F25" s="51"/>
      <c r="G25" s="52">
        <f t="shared" si="1"/>
        <v>0</v>
      </c>
      <c r="H25" s="53" t="e">
        <f t="shared" si="2"/>
        <v>#DIV/0!</v>
      </c>
      <c r="I25" s="51">
        <v>0</v>
      </c>
      <c r="J25" s="51"/>
      <c r="K25" s="51"/>
      <c r="L25" s="51"/>
      <c r="M25" s="54" t="e">
        <f t="shared" si="3"/>
        <v>#DIV/0!</v>
      </c>
      <c r="N25" s="51"/>
      <c r="O25" s="54" t="e">
        <f t="shared" si="0"/>
        <v>#DIV/0!</v>
      </c>
      <c r="P25" s="55">
        <f t="shared" si="4"/>
        <v>0</v>
      </c>
      <c r="Q25" s="56"/>
    </row>
    <row r="26" spans="1:17" s="32" customFormat="1" ht="15.75" customHeight="1" hidden="1" outlineLevel="5">
      <c r="A26" s="24" t="s">
        <v>37</v>
      </c>
      <c r="B26" s="48"/>
      <c r="C26" s="49">
        <v>1.82101020200121E+19</v>
      </c>
      <c r="D26" s="144" t="s">
        <v>37</v>
      </c>
      <c r="E26" s="51"/>
      <c r="F26" s="51"/>
      <c r="G26" s="52">
        <f t="shared" si="1"/>
        <v>0</v>
      </c>
      <c r="H26" s="53" t="e">
        <f t="shared" si="2"/>
        <v>#DIV/0!</v>
      </c>
      <c r="I26" s="51">
        <v>0</v>
      </c>
      <c r="J26" s="51"/>
      <c r="K26" s="51"/>
      <c r="L26" s="51"/>
      <c r="M26" s="54" t="e">
        <f t="shared" si="3"/>
        <v>#DIV/0!</v>
      </c>
      <c r="N26" s="51"/>
      <c r="O26" s="54" t="e">
        <f t="shared" si="0"/>
        <v>#DIV/0!</v>
      </c>
      <c r="P26" s="55">
        <f t="shared" si="4"/>
        <v>0</v>
      </c>
      <c r="Q26" s="56"/>
    </row>
    <row r="27" spans="1:17" s="32" customFormat="1" ht="330" customHeight="1" hidden="1" outlineLevel="5">
      <c r="A27" s="24" t="s">
        <v>38</v>
      </c>
      <c r="B27" s="48"/>
      <c r="C27" s="49" t="s">
        <v>35</v>
      </c>
      <c r="D27" s="144" t="s">
        <v>38</v>
      </c>
      <c r="E27" s="51"/>
      <c r="F27" s="51"/>
      <c r="G27" s="52">
        <f t="shared" si="1"/>
        <v>0</v>
      </c>
      <c r="H27" s="53" t="e">
        <f t="shared" si="2"/>
        <v>#DIV/0!</v>
      </c>
      <c r="I27" s="51">
        <v>0</v>
      </c>
      <c r="J27" s="51"/>
      <c r="K27" s="51"/>
      <c r="L27" s="51"/>
      <c r="M27" s="54" t="e">
        <f t="shared" si="3"/>
        <v>#DIV/0!</v>
      </c>
      <c r="N27" s="51"/>
      <c r="O27" s="54" t="e">
        <f t="shared" si="0"/>
        <v>#DIV/0!</v>
      </c>
      <c r="P27" s="55">
        <f t="shared" si="4"/>
        <v>0</v>
      </c>
      <c r="Q27" s="56"/>
    </row>
    <row r="28" spans="1:17" s="32" customFormat="1" ht="15.75" customHeight="1" hidden="1" outlineLevel="3">
      <c r="A28" s="24" t="s">
        <v>39</v>
      </c>
      <c r="B28" s="48"/>
      <c r="C28" s="49" t="s">
        <v>23</v>
      </c>
      <c r="D28" s="144" t="s">
        <v>39</v>
      </c>
      <c r="E28" s="51"/>
      <c r="F28" s="51"/>
      <c r="G28" s="52">
        <f t="shared" si="1"/>
        <v>0</v>
      </c>
      <c r="H28" s="53" t="e">
        <f t="shared" si="2"/>
        <v>#DIV/0!</v>
      </c>
      <c r="I28" s="51">
        <v>450200</v>
      </c>
      <c r="J28" s="51"/>
      <c r="K28" s="51"/>
      <c r="L28" s="51"/>
      <c r="M28" s="54" t="e">
        <f t="shared" si="3"/>
        <v>#DIV/0!</v>
      </c>
      <c r="N28" s="51"/>
      <c r="O28" s="54">
        <f t="shared" si="0"/>
        <v>0</v>
      </c>
      <c r="P28" s="55">
        <f t="shared" si="4"/>
        <v>0</v>
      </c>
      <c r="Q28" s="56"/>
    </row>
    <row r="29" spans="1:17" s="32" customFormat="1" ht="120" customHeight="1" hidden="1" outlineLevel="4">
      <c r="A29" s="24" t="s">
        <v>40</v>
      </c>
      <c r="B29" s="48"/>
      <c r="C29" s="49" t="s">
        <v>41</v>
      </c>
      <c r="D29" s="144" t="s">
        <v>40</v>
      </c>
      <c r="E29" s="51"/>
      <c r="F29" s="51"/>
      <c r="G29" s="52">
        <f t="shared" si="1"/>
        <v>0</v>
      </c>
      <c r="H29" s="53" t="e">
        <f t="shared" si="2"/>
        <v>#DIV/0!</v>
      </c>
      <c r="I29" s="51">
        <v>450200</v>
      </c>
      <c r="J29" s="51"/>
      <c r="K29" s="51"/>
      <c r="L29" s="51"/>
      <c r="M29" s="54" t="e">
        <f t="shared" si="3"/>
        <v>#DIV/0!</v>
      </c>
      <c r="N29" s="51"/>
      <c r="O29" s="54">
        <f t="shared" si="0"/>
        <v>0</v>
      </c>
      <c r="P29" s="55">
        <f t="shared" si="4"/>
        <v>0</v>
      </c>
      <c r="Q29" s="56"/>
    </row>
    <row r="30" spans="1:17" s="32" customFormat="1" ht="120" customHeight="1" hidden="1" outlineLevel="5">
      <c r="A30" s="24" t="s">
        <v>40</v>
      </c>
      <c r="B30" s="48"/>
      <c r="C30" s="49" t="s">
        <v>42</v>
      </c>
      <c r="D30" s="144" t="s">
        <v>40</v>
      </c>
      <c r="E30" s="51"/>
      <c r="F30" s="51"/>
      <c r="G30" s="52">
        <f t="shared" si="1"/>
        <v>0</v>
      </c>
      <c r="H30" s="53" t="e">
        <f t="shared" si="2"/>
        <v>#DIV/0!</v>
      </c>
      <c r="I30" s="51">
        <v>450200</v>
      </c>
      <c r="J30" s="51"/>
      <c r="K30" s="51"/>
      <c r="L30" s="51"/>
      <c r="M30" s="54" t="e">
        <f t="shared" si="3"/>
        <v>#DIV/0!</v>
      </c>
      <c r="N30" s="51"/>
      <c r="O30" s="54">
        <f t="shared" si="0"/>
        <v>0</v>
      </c>
      <c r="P30" s="55">
        <f t="shared" si="4"/>
        <v>0</v>
      </c>
      <c r="Q30" s="56"/>
    </row>
    <row r="31" spans="1:17" s="32" customFormat="1" ht="120" customHeight="1" hidden="1" outlineLevel="5">
      <c r="A31" s="24" t="s">
        <v>43</v>
      </c>
      <c r="B31" s="48"/>
      <c r="C31" s="49" t="s">
        <v>44</v>
      </c>
      <c r="D31" s="144" t="s">
        <v>43</v>
      </c>
      <c r="E31" s="51"/>
      <c r="F31" s="51"/>
      <c r="G31" s="52">
        <f t="shared" si="1"/>
        <v>0</v>
      </c>
      <c r="H31" s="53" t="e">
        <f t="shared" si="2"/>
        <v>#DIV/0!</v>
      </c>
      <c r="I31" s="51">
        <v>0</v>
      </c>
      <c r="J31" s="51"/>
      <c r="K31" s="51"/>
      <c r="L31" s="51"/>
      <c r="M31" s="54" t="e">
        <f t="shared" si="3"/>
        <v>#DIV/0!</v>
      </c>
      <c r="N31" s="51"/>
      <c r="O31" s="54" t="e">
        <f t="shared" si="0"/>
        <v>#DIV/0!</v>
      </c>
      <c r="P31" s="55">
        <f t="shared" si="4"/>
        <v>0</v>
      </c>
      <c r="Q31" s="56"/>
    </row>
    <row r="32" spans="1:17" s="32" customFormat="1" ht="15.75" customHeight="1" hidden="1" outlineLevel="5">
      <c r="A32" s="24" t="s">
        <v>45</v>
      </c>
      <c r="B32" s="48"/>
      <c r="C32" s="49">
        <v>1.82101020300121E+19</v>
      </c>
      <c r="D32" s="144" t="s">
        <v>45</v>
      </c>
      <c r="E32" s="51"/>
      <c r="F32" s="51"/>
      <c r="G32" s="52">
        <f t="shared" si="1"/>
        <v>0</v>
      </c>
      <c r="H32" s="53" t="e">
        <f t="shared" si="2"/>
        <v>#DIV/0!</v>
      </c>
      <c r="I32" s="51">
        <v>0</v>
      </c>
      <c r="J32" s="51"/>
      <c r="K32" s="51"/>
      <c r="L32" s="51"/>
      <c r="M32" s="54" t="e">
        <f t="shared" si="3"/>
        <v>#DIV/0!</v>
      </c>
      <c r="N32" s="51"/>
      <c r="O32" s="54" t="e">
        <f t="shared" si="0"/>
        <v>#DIV/0!</v>
      </c>
      <c r="P32" s="55">
        <f t="shared" si="4"/>
        <v>0</v>
      </c>
      <c r="Q32" s="56"/>
    </row>
    <row r="33" spans="1:17" s="32" customFormat="1" ht="120" customHeight="1" hidden="1" outlineLevel="5">
      <c r="A33" s="24" t="s">
        <v>46</v>
      </c>
      <c r="B33" s="48"/>
      <c r="C33" s="49" t="s">
        <v>44</v>
      </c>
      <c r="D33" s="144" t="s">
        <v>46</v>
      </c>
      <c r="E33" s="51"/>
      <c r="F33" s="51"/>
      <c r="G33" s="52">
        <f t="shared" si="1"/>
        <v>0</v>
      </c>
      <c r="H33" s="53" t="e">
        <f t="shared" si="2"/>
        <v>#DIV/0!</v>
      </c>
      <c r="I33" s="51">
        <v>0</v>
      </c>
      <c r="J33" s="51"/>
      <c r="K33" s="51"/>
      <c r="L33" s="51"/>
      <c r="M33" s="54" t="e">
        <f t="shared" si="3"/>
        <v>#DIV/0!</v>
      </c>
      <c r="N33" s="51"/>
      <c r="O33" s="54" t="e">
        <f t="shared" si="0"/>
        <v>#DIV/0!</v>
      </c>
      <c r="P33" s="55">
        <f t="shared" si="4"/>
        <v>0</v>
      </c>
      <c r="Q33" s="56"/>
    </row>
    <row r="34" spans="1:17" s="32" customFormat="1" ht="120" customHeight="1" hidden="1" outlineLevel="5">
      <c r="A34" s="24" t="s">
        <v>47</v>
      </c>
      <c r="B34" s="48"/>
      <c r="C34" s="49" t="s">
        <v>44</v>
      </c>
      <c r="D34" s="144" t="s">
        <v>47</v>
      </c>
      <c r="E34" s="51"/>
      <c r="F34" s="51"/>
      <c r="G34" s="52">
        <f t="shared" si="1"/>
        <v>0</v>
      </c>
      <c r="H34" s="53" t="e">
        <f t="shared" si="2"/>
        <v>#DIV/0!</v>
      </c>
      <c r="I34" s="51">
        <v>0</v>
      </c>
      <c r="J34" s="51"/>
      <c r="K34" s="51"/>
      <c r="L34" s="51"/>
      <c r="M34" s="54" t="e">
        <f t="shared" si="3"/>
        <v>#DIV/0!</v>
      </c>
      <c r="N34" s="51"/>
      <c r="O34" s="54" t="e">
        <f t="shared" si="0"/>
        <v>#DIV/0!</v>
      </c>
      <c r="P34" s="55">
        <f t="shared" si="4"/>
        <v>0</v>
      </c>
      <c r="Q34" s="56"/>
    </row>
    <row r="35" spans="1:17" s="32" customFormat="1" ht="15.75" customHeight="1" hidden="1" outlineLevel="3">
      <c r="A35" s="24" t="s">
        <v>48</v>
      </c>
      <c r="B35" s="48"/>
      <c r="C35" s="49" t="s">
        <v>23</v>
      </c>
      <c r="D35" s="144" t="s">
        <v>48</v>
      </c>
      <c r="E35" s="51"/>
      <c r="F35" s="51"/>
      <c r="G35" s="52">
        <f t="shared" si="1"/>
        <v>0</v>
      </c>
      <c r="H35" s="53" t="e">
        <f t="shared" si="2"/>
        <v>#DIV/0!</v>
      </c>
      <c r="I35" s="51">
        <v>300100</v>
      </c>
      <c r="J35" s="51"/>
      <c r="K35" s="51"/>
      <c r="L35" s="51"/>
      <c r="M35" s="54" t="e">
        <f t="shared" si="3"/>
        <v>#DIV/0!</v>
      </c>
      <c r="N35" s="51"/>
      <c r="O35" s="54">
        <f t="shared" si="0"/>
        <v>0</v>
      </c>
      <c r="P35" s="55">
        <f t="shared" si="4"/>
        <v>0</v>
      </c>
      <c r="Q35" s="56"/>
    </row>
    <row r="36" spans="1:17" s="32" customFormat="1" ht="270" customHeight="1" hidden="1" outlineLevel="4">
      <c r="A36" s="24" t="s">
        <v>49</v>
      </c>
      <c r="B36" s="48"/>
      <c r="C36" s="49" t="s">
        <v>50</v>
      </c>
      <c r="D36" s="144" t="s">
        <v>49</v>
      </c>
      <c r="E36" s="51"/>
      <c r="F36" s="51"/>
      <c r="G36" s="52">
        <f t="shared" si="1"/>
        <v>0</v>
      </c>
      <c r="H36" s="53" t="e">
        <f t="shared" si="2"/>
        <v>#DIV/0!</v>
      </c>
      <c r="I36" s="51">
        <v>300100</v>
      </c>
      <c r="J36" s="51"/>
      <c r="K36" s="51"/>
      <c r="L36" s="51"/>
      <c r="M36" s="54" t="e">
        <f t="shared" si="3"/>
        <v>#DIV/0!</v>
      </c>
      <c r="N36" s="51"/>
      <c r="O36" s="54">
        <f t="shared" si="0"/>
        <v>0</v>
      </c>
      <c r="P36" s="55">
        <f t="shared" si="4"/>
        <v>0</v>
      </c>
      <c r="Q36" s="56"/>
    </row>
    <row r="37" spans="1:17" s="32" customFormat="1" ht="270" customHeight="1" hidden="1" outlineLevel="5">
      <c r="A37" s="24" t="s">
        <v>49</v>
      </c>
      <c r="B37" s="48"/>
      <c r="C37" s="49" t="s">
        <v>51</v>
      </c>
      <c r="D37" s="144" t="s">
        <v>49</v>
      </c>
      <c r="E37" s="51"/>
      <c r="F37" s="51"/>
      <c r="G37" s="52">
        <f t="shared" si="1"/>
        <v>0</v>
      </c>
      <c r="H37" s="53" t="e">
        <f t="shared" si="2"/>
        <v>#DIV/0!</v>
      </c>
      <c r="I37" s="51">
        <v>300100</v>
      </c>
      <c r="J37" s="51"/>
      <c r="K37" s="51"/>
      <c r="L37" s="51"/>
      <c r="M37" s="54" t="e">
        <f t="shared" si="3"/>
        <v>#DIV/0!</v>
      </c>
      <c r="N37" s="51"/>
      <c r="O37" s="54">
        <f t="shared" si="0"/>
        <v>0</v>
      </c>
      <c r="P37" s="55">
        <f t="shared" si="4"/>
        <v>0</v>
      </c>
      <c r="Q37" s="56"/>
    </row>
    <row r="38" spans="1:17" s="32" customFormat="1" ht="409.5" customHeight="1" hidden="1" outlineLevel="5">
      <c r="A38" s="24" t="s">
        <v>52</v>
      </c>
      <c r="B38" s="48"/>
      <c r="C38" s="49" t="s">
        <v>53</v>
      </c>
      <c r="D38" s="144" t="s">
        <v>52</v>
      </c>
      <c r="E38" s="51">
        <v>8650982.19</v>
      </c>
      <c r="F38" s="51"/>
      <c r="G38" s="52">
        <f t="shared" si="1"/>
        <v>-8650982.19</v>
      </c>
      <c r="H38" s="53">
        <f t="shared" si="2"/>
        <v>0</v>
      </c>
      <c r="I38" s="51">
        <v>0</v>
      </c>
      <c r="J38" s="51"/>
      <c r="K38" s="51"/>
      <c r="L38" s="51"/>
      <c r="M38" s="54">
        <f t="shared" si="3"/>
        <v>0</v>
      </c>
      <c r="N38" s="51"/>
      <c r="O38" s="54" t="e">
        <f t="shared" si="0"/>
        <v>#DIV/0!</v>
      </c>
      <c r="P38" s="55">
        <f t="shared" si="4"/>
        <v>0</v>
      </c>
      <c r="Q38" s="56"/>
    </row>
    <row r="39" spans="1:17" s="32" customFormat="1" ht="57.75" customHeight="1" outlineLevel="2" collapsed="1">
      <c r="A39" s="24" t="s">
        <v>54</v>
      </c>
      <c r="B39" s="48" t="s">
        <v>55</v>
      </c>
      <c r="C39" s="49" t="s">
        <v>56</v>
      </c>
      <c r="D39" s="144" t="s">
        <v>54</v>
      </c>
      <c r="E39" s="51">
        <v>10254357.32</v>
      </c>
      <c r="F39" s="51">
        <v>5712049.73</v>
      </c>
      <c r="G39" s="52">
        <f t="shared" si="1"/>
        <v>-4542307.59</v>
      </c>
      <c r="H39" s="53">
        <f t="shared" si="2"/>
        <v>0.5570363457941214</v>
      </c>
      <c r="I39" s="51">
        <v>9197170</v>
      </c>
      <c r="J39" s="51">
        <v>676056.9</v>
      </c>
      <c r="K39" s="51">
        <v>5907844.79</v>
      </c>
      <c r="L39" s="28">
        <f>K39-J39</f>
        <v>5231787.89</v>
      </c>
      <c r="M39" s="54">
        <f t="shared" si="3"/>
        <v>-2.0247792157994304</v>
      </c>
      <c r="N39" s="51">
        <f>K39-I39</f>
        <v>-3289325.21</v>
      </c>
      <c r="O39" s="54">
        <f t="shared" si="0"/>
        <v>0.6423546362631114</v>
      </c>
      <c r="P39" s="55">
        <f t="shared" si="4"/>
        <v>195795.0599999996</v>
      </c>
      <c r="Q39" s="149" t="s">
        <v>267</v>
      </c>
    </row>
    <row r="40" spans="1:17" s="32" customFormat="1" ht="58.5" customHeight="1" outlineLevel="1">
      <c r="A40" s="24" t="s">
        <v>57</v>
      </c>
      <c r="B40" s="48" t="s">
        <v>58</v>
      </c>
      <c r="C40" s="49" t="s">
        <v>59</v>
      </c>
      <c r="D40" s="144" t="s">
        <v>57</v>
      </c>
      <c r="E40" s="58">
        <f>E41+E42+E52+E56</f>
        <v>45903932.26</v>
      </c>
      <c r="F40" s="51">
        <f>F41+F42+F52+F56</f>
        <v>28862206.14</v>
      </c>
      <c r="G40" s="52">
        <f t="shared" si="1"/>
        <v>-17041726.119999997</v>
      </c>
      <c r="H40" s="53">
        <f t="shared" si="2"/>
        <v>0.6287523686756156</v>
      </c>
      <c r="I40" s="51">
        <f>I41+I42+I52+I56</f>
        <v>44278800</v>
      </c>
      <c r="J40" s="51">
        <f>J41+J42+J52+J56</f>
        <v>1291804</v>
      </c>
      <c r="K40" s="51">
        <f>K41+K42+K52+K56</f>
        <v>31683495.08</v>
      </c>
      <c r="L40" s="28">
        <f>K40-J40</f>
        <v>30391691.08</v>
      </c>
      <c r="M40" s="54">
        <f t="shared" si="3"/>
        <v>-2.5982579281118037</v>
      </c>
      <c r="N40" s="51">
        <f>N41+N42+N52+N56</f>
        <v>-12595304.92</v>
      </c>
      <c r="O40" s="54">
        <f t="shared" si="0"/>
        <v>0.7155454772938742</v>
      </c>
      <c r="P40" s="55">
        <f t="shared" si="4"/>
        <v>2821288.9399999976</v>
      </c>
      <c r="Q40" s="149" t="s">
        <v>267</v>
      </c>
    </row>
    <row r="41" spans="1:17" s="32" customFormat="1" ht="41.25" customHeight="1" outlineLevel="1">
      <c r="A41" s="24"/>
      <c r="B41" s="48" t="s">
        <v>60</v>
      </c>
      <c r="C41" s="59" t="s">
        <v>61</v>
      </c>
      <c r="D41" s="60" t="s">
        <v>62</v>
      </c>
      <c r="E41" s="61">
        <v>33191065.25</v>
      </c>
      <c r="F41" s="61">
        <v>22153523.15</v>
      </c>
      <c r="G41" s="62">
        <f>F41-E41</f>
        <v>-11037542.100000001</v>
      </c>
      <c r="H41" s="63"/>
      <c r="I41" s="61">
        <v>31715800</v>
      </c>
      <c r="J41" s="61">
        <v>728906</v>
      </c>
      <c r="K41" s="61">
        <v>27684289.23</v>
      </c>
      <c r="L41" s="61">
        <f>K41-J41</f>
        <v>26955383.23</v>
      </c>
      <c r="M41" s="63">
        <f t="shared" si="3"/>
        <v>-2.8734477035426207</v>
      </c>
      <c r="N41" s="61">
        <f>K41-I41</f>
        <v>-4031510.7699999996</v>
      </c>
      <c r="O41" s="63">
        <f t="shared" si="0"/>
        <v>0.8728863604260337</v>
      </c>
      <c r="P41" s="61">
        <f>K41-F41</f>
        <v>5530766.080000002</v>
      </c>
      <c r="Q41" s="57"/>
    </row>
    <row r="42" spans="1:17" ht="28.5" outlineLevel="2">
      <c r="A42" s="64" t="s">
        <v>63</v>
      </c>
      <c r="B42" s="65" t="s">
        <v>64</v>
      </c>
      <c r="C42" s="59" t="s">
        <v>65</v>
      </c>
      <c r="D42" s="60" t="s">
        <v>63</v>
      </c>
      <c r="E42" s="61">
        <v>108221.73</v>
      </c>
      <c r="F42" s="61">
        <v>58887.42</v>
      </c>
      <c r="G42" s="62">
        <f>F42-E42</f>
        <v>-49334.31</v>
      </c>
      <c r="H42" s="63">
        <f>F42/E42</f>
        <v>0.5441367459196965</v>
      </c>
      <c r="I42" s="61"/>
      <c r="J42" s="61"/>
      <c r="K42" s="61">
        <v>-207705.94</v>
      </c>
      <c r="L42" s="61">
        <f aca="true" t="shared" si="5" ref="L42:L56">K42-J42</f>
        <v>-207705.94</v>
      </c>
      <c r="M42" s="63">
        <f t="shared" si="3"/>
        <v>0</v>
      </c>
      <c r="N42" s="61">
        <f>K42-I42</f>
        <v>-207705.94</v>
      </c>
      <c r="O42" s="63"/>
      <c r="P42" s="61">
        <f>K42-F42</f>
        <v>-266593.36</v>
      </c>
      <c r="Q42" s="66" t="s">
        <v>263</v>
      </c>
    </row>
    <row r="43" spans="1:17" ht="15" customHeight="1" hidden="1" outlineLevel="3">
      <c r="A43" s="64" t="s">
        <v>66</v>
      </c>
      <c r="B43" s="65"/>
      <c r="C43" s="59" t="s">
        <v>23</v>
      </c>
      <c r="D43" s="60" t="s">
        <v>66</v>
      </c>
      <c r="E43" s="61"/>
      <c r="F43" s="61"/>
      <c r="G43" s="62">
        <f aca="true" t="shared" si="6" ref="G43:G56">F43-E43</f>
        <v>0</v>
      </c>
      <c r="H43" s="63" t="e">
        <f aca="true" t="shared" si="7" ref="H43:H56">F43/E43</f>
        <v>#DIV/0!</v>
      </c>
      <c r="I43" s="61">
        <v>57591300</v>
      </c>
      <c r="J43" s="61"/>
      <c r="K43" s="61"/>
      <c r="L43" s="61">
        <f t="shared" si="5"/>
        <v>0</v>
      </c>
      <c r="M43" s="63" t="e">
        <f t="shared" si="3"/>
        <v>#DIV/0!</v>
      </c>
      <c r="N43" s="61">
        <f aca="true" t="shared" si="8" ref="N43:N56">K43-I43</f>
        <v>-57591300</v>
      </c>
      <c r="O43" s="63">
        <f t="shared" si="0"/>
        <v>0</v>
      </c>
      <c r="P43" s="61">
        <f aca="true" t="shared" si="9" ref="P43:P56">K43-F43</f>
        <v>0</v>
      </c>
      <c r="Q43" s="67"/>
    </row>
    <row r="44" spans="1:17" ht="57" customHeight="1" hidden="1" outlineLevel="4">
      <c r="A44" s="64" t="s">
        <v>67</v>
      </c>
      <c r="B44" s="65"/>
      <c r="C44" s="59" t="s">
        <v>68</v>
      </c>
      <c r="D44" s="60" t="s">
        <v>67</v>
      </c>
      <c r="E44" s="61"/>
      <c r="F44" s="61"/>
      <c r="G44" s="62">
        <f t="shared" si="6"/>
        <v>0</v>
      </c>
      <c r="H44" s="63" t="e">
        <f t="shared" si="7"/>
        <v>#DIV/0!</v>
      </c>
      <c r="I44" s="61">
        <v>57591300</v>
      </c>
      <c r="J44" s="61"/>
      <c r="K44" s="61"/>
      <c r="L44" s="61">
        <f t="shared" si="5"/>
        <v>0</v>
      </c>
      <c r="M44" s="63" t="e">
        <f t="shared" si="3"/>
        <v>#DIV/0!</v>
      </c>
      <c r="N44" s="61">
        <f t="shared" si="8"/>
        <v>-57591300</v>
      </c>
      <c r="O44" s="63">
        <f t="shared" si="0"/>
        <v>0</v>
      </c>
      <c r="P44" s="61">
        <f t="shared" si="9"/>
        <v>0</v>
      </c>
      <c r="Q44" s="67"/>
    </row>
    <row r="45" spans="1:17" ht="57" customHeight="1" hidden="1" outlineLevel="5">
      <c r="A45" s="64" t="s">
        <v>67</v>
      </c>
      <c r="B45" s="65"/>
      <c r="C45" s="59" t="s">
        <v>69</v>
      </c>
      <c r="D45" s="60" t="s">
        <v>67</v>
      </c>
      <c r="E45" s="61"/>
      <c r="F45" s="61"/>
      <c r="G45" s="62">
        <f t="shared" si="6"/>
        <v>0</v>
      </c>
      <c r="H45" s="63" t="e">
        <f t="shared" si="7"/>
        <v>#DIV/0!</v>
      </c>
      <c r="I45" s="61">
        <v>57591300</v>
      </c>
      <c r="J45" s="61"/>
      <c r="K45" s="61"/>
      <c r="L45" s="61">
        <f t="shared" si="5"/>
        <v>0</v>
      </c>
      <c r="M45" s="63" t="e">
        <f t="shared" si="3"/>
        <v>#DIV/0!</v>
      </c>
      <c r="N45" s="61">
        <f t="shared" si="8"/>
        <v>-57591300</v>
      </c>
      <c r="O45" s="63">
        <f t="shared" si="0"/>
        <v>0</v>
      </c>
      <c r="P45" s="61">
        <f t="shared" si="9"/>
        <v>0</v>
      </c>
      <c r="Q45" s="67"/>
    </row>
    <row r="46" spans="1:17" ht="57" customHeight="1" hidden="1" outlineLevel="5">
      <c r="A46" s="64" t="s">
        <v>70</v>
      </c>
      <c r="B46" s="65"/>
      <c r="C46" s="59" t="s">
        <v>69</v>
      </c>
      <c r="D46" s="60" t="s">
        <v>70</v>
      </c>
      <c r="E46" s="61"/>
      <c r="F46" s="61"/>
      <c r="G46" s="62">
        <f t="shared" si="6"/>
        <v>0</v>
      </c>
      <c r="H46" s="63" t="e">
        <f t="shared" si="7"/>
        <v>#DIV/0!</v>
      </c>
      <c r="I46" s="61">
        <v>0</v>
      </c>
      <c r="J46" s="61"/>
      <c r="K46" s="61"/>
      <c r="L46" s="61">
        <f t="shared" si="5"/>
        <v>0</v>
      </c>
      <c r="M46" s="63" t="e">
        <f t="shared" si="3"/>
        <v>#DIV/0!</v>
      </c>
      <c r="N46" s="61">
        <f t="shared" si="8"/>
        <v>0</v>
      </c>
      <c r="O46" s="63" t="e">
        <f t="shared" si="0"/>
        <v>#DIV/0!</v>
      </c>
      <c r="P46" s="61">
        <f t="shared" si="9"/>
        <v>0</v>
      </c>
      <c r="Q46" s="67"/>
    </row>
    <row r="47" spans="1:17" ht="57" customHeight="1" hidden="1" outlineLevel="5">
      <c r="A47" s="64" t="s">
        <v>71</v>
      </c>
      <c r="B47" s="65"/>
      <c r="C47" s="59" t="s">
        <v>69</v>
      </c>
      <c r="D47" s="60" t="s">
        <v>71</v>
      </c>
      <c r="E47" s="61"/>
      <c r="F47" s="61"/>
      <c r="G47" s="62">
        <f t="shared" si="6"/>
        <v>0</v>
      </c>
      <c r="H47" s="63" t="e">
        <f t="shared" si="7"/>
        <v>#DIV/0!</v>
      </c>
      <c r="I47" s="61">
        <v>0</v>
      </c>
      <c r="J47" s="61"/>
      <c r="K47" s="61"/>
      <c r="L47" s="61">
        <f t="shared" si="5"/>
        <v>0</v>
      </c>
      <c r="M47" s="63" t="e">
        <f t="shared" si="3"/>
        <v>#DIV/0!</v>
      </c>
      <c r="N47" s="61">
        <f t="shared" si="8"/>
        <v>0</v>
      </c>
      <c r="O47" s="63" t="e">
        <f t="shared" si="0"/>
        <v>#DIV/0!</v>
      </c>
      <c r="P47" s="61">
        <f t="shared" si="9"/>
        <v>0</v>
      </c>
      <c r="Q47" s="67"/>
    </row>
    <row r="48" spans="1:17" ht="57" customHeight="1" hidden="1" outlineLevel="5">
      <c r="A48" s="64" t="s">
        <v>72</v>
      </c>
      <c r="B48" s="65"/>
      <c r="C48" s="59" t="s">
        <v>69</v>
      </c>
      <c r="D48" s="60" t="s">
        <v>72</v>
      </c>
      <c r="E48" s="61"/>
      <c r="F48" s="61"/>
      <c r="G48" s="62">
        <f t="shared" si="6"/>
        <v>0</v>
      </c>
      <c r="H48" s="63" t="e">
        <f t="shared" si="7"/>
        <v>#DIV/0!</v>
      </c>
      <c r="I48" s="61">
        <v>0</v>
      </c>
      <c r="J48" s="61"/>
      <c r="K48" s="61"/>
      <c r="L48" s="61">
        <f t="shared" si="5"/>
        <v>0</v>
      </c>
      <c r="M48" s="63" t="e">
        <f t="shared" si="3"/>
        <v>#DIV/0!</v>
      </c>
      <c r="N48" s="61">
        <f t="shared" si="8"/>
        <v>0</v>
      </c>
      <c r="O48" s="63" t="e">
        <f t="shared" si="0"/>
        <v>#DIV/0!</v>
      </c>
      <c r="P48" s="61">
        <f t="shared" si="9"/>
        <v>0</v>
      </c>
      <c r="Q48" s="67"/>
    </row>
    <row r="49" spans="1:17" ht="15" customHeight="1" hidden="1" outlineLevel="3">
      <c r="A49" s="64" t="s">
        <v>73</v>
      </c>
      <c r="B49" s="65"/>
      <c r="C49" s="59" t="s">
        <v>23</v>
      </c>
      <c r="D49" s="60" t="s">
        <v>73</v>
      </c>
      <c r="E49" s="61"/>
      <c r="F49" s="61"/>
      <c r="G49" s="62">
        <f t="shared" si="6"/>
        <v>0</v>
      </c>
      <c r="H49" s="63" t="e">
        <f t="shared" si="7"/>
        <v>#DIV/0!</v>
      </c>
      <c r="I49" s="61">
        <v>0</v>
      </c>
      <c r="J49" s="61"/>
      <c r="K49" s="61"/>
      <c r="L49" s="61">
        <f t="shared" si="5"/>
        <v>0</v>
      </c>
      <c r="M49" s="63" t="e">
        <f t="shared" si="3"/>
        <v>#DIV/0!</v>
      </c>
      <c r="N49" s="61">
        <f t="shared" si="8"/>
        <v>0</v>
      </c>
      <c r="O49" s="63" t="e">
        <f t="shared" si="0"/>
        <v>#DIV/0!</v>
      </c>
      <c r="P49" s="61">
        <f t="shared" si="9"/>
        <v>0</v>
      </c>
      <c r="Q49" s="67"/>
    </row>
    <row r="50" spans="1:17" ht="99.75" customHeight="1" hidden="1" outlineLevel="4">
      <c r="A50" s="64" t="s">
        <v>74</v>
      </c>
      <c r="B50" s="65"/>
      <c r="C50" s="59" t="s">
        <v>75</v>
      </c>
      <c r="D50" s="60" t="s">
        <v>74</v>
      </c>
      <c r="E50" s="61"/>
      <c r="F50" s="61"/>
      <c r="G50" s="62">
        <f t="shared" si="6"/>
        <v>0</v>
      </c>
      <c r="H50" s="63" t="e">
        <f t="shared" si="7"/>
        <v>#DIV/0!</v>
      </c>
      <c r="I50" s="61">
        <v>0</v>
      </c>
      <c r="J50" s="61"/>
      <c r="K50" s="61"/>
      <c r="L50" s="61">
        <f t="shared" si="5"/>
        <v>0</v>
      </c>
      <c r="M50" s="63" t="e">
        <f t="shared" si="3"/>
        <v>#DIV/0!</v>
      </c>
      <c r="N50" s="61">
        <f t="shared" si="8"/>
        <v>0</v>
      </c>
      <c r="O50" s="63" t="e">
        <f t="shared" si="0"/>
        <v>#DIV/0!</v>
      </c>
      <c r="P50" s="61">
        <f t="shared" si="9"/>
        <v>0</v>
      </c>
      <c r="Q50" s="67"/>
    </row>
    <row r="51" spans="1:17" ht="99.75" customHeight="1" hidden="1" outlineLevel="5">
      <c r="A51" s="64" t="s">
        <v>76</v>
      </c>
      <c r="B51" s="65"/>
      <c r="C51" s="59" t="s">
        <v>77</v>
      </c>
      <c r="D51" s="60" t="s">
        <v>76</v>
      </c>
      <c r="E51" s="61"/>
      <c r="F51" s="61"/>
      <c r="G51" s="62">
        <f t="shared" si="6"/>
        <v>0</v>
      </c>
      <c r="H51" s="63" t="e">
        <f t="shared" si="7"/>
        <v>#DIV/0!</v>
      </c>
      <c r="I51" s="61">
        <v>0</v>
      </c>
      <c r="J51" s="61"/>
      <c r="K51" s="61"/>
      <c r="L51" s="61">
        <f t="shared" si="5"/>
        <v>0</v>
      </c>
      <c r="M51" s="63" t="e">
        <f t="shared" si="3"/>
        <v>#DIV/0!</v>
      </c>
      <c r="N51" s="61">
        <f t="shared" si="8"/>
        <v>0</v>
      </c>
      <c r="O51" s="63" t="e">
        <f t="shared" si="0"/>
        <v>#DIV/0!</v>
      </c>
      <c r="P51" s="61">
        <f t="shared" si="9"/>
        <v>0</v>
      </c>
      <c r="Q51" s="67"/>
    </row>
    <row r="52" spans="1:17" ht="18.75" customHeight="1" outlineLevel="2" collapsed="1">
      <c r="A52" s="64" t="s">
        <v>78</v>
      </c>
      <c r="B52" s="65" t="s">
        <v>79</v>
      </c>
      <c r="C52" s="59" t="s">
        <v>80</v>
      </c>
      <c r="D52" s="60" t="s">
        <v>78</v>
      </c>
      <c r="E52" s="62">
        <v>63052.38</v>
      </c>
      <c r="F52" s="62">
        <v>63051.56</v>
      </c>
      <c r="G52" s="62">
        <f t="shared" si="6"/>
        <v>-0.819999999999709</v>
      </c>
      <c r="H52" s="63">
        <f t="shared" si="7"/>
        <v>0.9999869949397628</v>
      </c>
      <c r="I52" s="61">
        <v>63000</v>
      </c>
      <c r="J52" s="61"/>
      <c r="K52" s="62">
        <v>296614.88</v>
      </c>
      <c r="L52" s="61">
        <f t="shared" si="5"/>
        <v>296614.88</v>
      </c>
      <c r="M52" s="63">
        <f t="shared" si="3"/>
        <v>-76829.2682927102</v>
      </c>
      <c r="N52" s="61">
        <f t="shared" si="8"/>
        <v>233614.88</v>
      </c>
      <c r="O52" s="63">
        <f t="shared" si="0"/>
        <v>4.708172698412699</v>
      </c>
      <c r="P52" s="61">
        <f t="shared" si="9"/>
        <v>233563.32</v>
      </c>
      <c r="Q52" s="67"/>
    </row>
    <row r="53" spans="1:17" ht="15" customHeight="1" hidden="1" outlineLevel="3">
      <c r="A53" s="64" t="s">
        <v>81</v>
      </c>
      <c r="B53" s="65"/>
      <c r="C53" s="59" t="s">
        <v>23</v>
      </c>
      <c r="D53" s="60" t="s">
        <v>81</v>
      </c>
      <c r="E53" s="61"/>
      <c r="F53" s="61"/>
      <c r="G53" s="62">
        <f t="shared" si="6"/>
        <v>0</v>
      </c>
      <c r="H53" s="63" t="e">
        <f t="shared" si="7"/>
        <v>#DIV/0!</v>
      </c>
      <c r="I53" s="61"/>
      <c r="J53" s="61"/>
      <c r="K53" s="61"/>
      <c r="L53" s="61">
        <f t="shared" si="5"/>
        <v>0</v>
      </c>
      <c r="M53" s="63" t="e">
        <f t="shared" si="3"/>
        <v>#DIV/0!</v>
      </c>
      <c r="N53" s="61">
        <f t="shared" si="8"/>
        <v>0</v>
      </c>
      <c r="O53" s="63" t="e">
        <f t="shared" si="0"/>
        <v>#DIV/0!</v>
      </c>
      <c r="P53" s="61">
        <f t="shared" si="9"/>
        <v>0</v>
      </c>
      <c r="Q53" s="68"/>
    </row>
    <row r="54" spans="1:17" ht="42.75" customHeight="1" hidden="1" outlineLevel="4">
      <c r="A54" s="64" t="s">
        <v>82</v>
      </c>
      <c r="B54" s="65"/>
      <c r="C54" s="59" t="s">
        <v>83</v>
      </c>
      <c r="D54" s="60" t="s">
        <v>82</v>
      </c>
      <c r="E54" s="61"/>
      <c r="F54" s="61"/>
      <c r="G54" s="62">
        <f t="shared" si="6"/>
        <v>0</v>
      </c>
      <c r="H54" s="63" t="e">
        <f t="shared" si="7"/>
        <v>#DIV/0!</v>
      </c>
      <c r="I54" s="61"/>
      <c r="J54" s="61"/>
      <c r="K54" s="61"/>
      <c r="L54" s="61">
        <f t="shared" si="5"/>
        <v>0</v>
      </c>
      <c r="M54" s="63" t="e">
        <f t="shared" si="3"/>
        <v>#DIV/0!</v>
      </c>
      <c r="N54" s="61">
        <f t="shared" si="8"/>
        <v>0</v>
      </c>
      <c r="O54" s="63" t="e">
        <f t="shared" si="0"/>
        <v>#DIV/0!</v>
      </c>
      <c r="P54" s="61">
        <f t="shared" si="9"/>
        <v>0</v>
      </c>
      <c r="Q54" s="68"/>
    </row>
    <row r="55" spans="1:17" ht="42.75" customHeight="1" hidden="1" outlineLevel="5">
      <c r="A55" s="64" t="s">
        <v>82</v>
      </c>
      <c r="B55" s="65"/>
      <c r="C55" s="59" t="s">
        <v>84</v>
      </c>
      <c r="D55" s="60" t="s">
        <v>82</v>
      </c>
      <c r="E55" s="61"/>
      <c r="F55" s="61"/>
      <c r="G55" s="62">
        <f t="shared" si="6"/>
        <v>0</v>
      </c>
      <c r="H55" s="63" t="e">
        <f t="shared" si="7"/>
        <v>#DIV/0!</v>
      </c>
      <c r="I55" s="61"/>
      <c r="J55" s="61"/>
      <c r="K55" s="61"/>
      <c r="L55" s="61">
        <f t="shared" si="5"/>
        <v>0</v>
      </c>
      <c r="M55" s="63" t="e">
        <f t="shared" si="3"/>
        <v>#DIV/0!</v>
      </c>
      <c r="N55" s="61">
        <f t="shared" si="8"/>
        <v>0</v>
      </c>
      <c r="O55" s="63" t="e">
        <f t="shared" si="0"/>
        <v>#DIV/0!</v>
      </c>
      <c r="P55" s="61">
        <f t="shared" si="9"/>
        <v>0</v>
      </c>
      <c r="Q55" s="68"/>
    </row>
    <row r="56" spans="1:17" ht="30" customHeight="1" outlineLevel="2" collapsed="1">
      <c r="A56" s="64" t="s">
        <v>85</v>
      </c>
      <c r="B56" s="65" t="s">
        <v>86</v>
      </c>
      <c r="C56" s="59" t="s">
        <v>87</v>
      </c>
      <c r="D56" s="60" t="s">
        <v>85</v>
      </c>
      <c r="E56" s="61">
        <v>12541592.9</v>
      </c>
      <c r="F56" s="61">
        <v>6586744.01</v>
      </c>
      <c r="G56" s="62">
        <f t="shared" si="6"/>
        <v>-5954848.890000001</v>
      </c>
      <c r="H56" s="63">
        <f t="shared" si="7"/>
        <v>0.5251919801989426</v>
      </c>
      <c r="I56" s="61">
        <v>12500000</v>
      </c>
      <c r="J56" s="61">
        <v>562898</v>
      </c>
      <c r="K56" s="61">
        <v>3910296.91</v>
      </c>
      <c r="L56" s="61">
        <f t="shared" si="5"/>
        <v>3347398.91</v>
      </c>
      <c r="M56" s="63">
        <f t="shared" si="3"/>
        <v>-2.0991296724575657</v>
      </c>
      <c r="N56" s="61">
        <f t="shared" si="8"/>
        <v>-8589703.09</v>
      </c>
      <c r="O56" s="63">
        <f t="shared" si="0"/>
        <v>0.3128237528</v>
      </c>
      <c r="P56" s="61">
        <f t="shared" si="9"/>
        <v>-2676447.0999999996</v>
      </c>
      <c r="Q56" s="66"/>
    </row>
    <row r="57" spans="1:17" ht="15" customHeight="1" hidden="1" outlineLevel="3">
      <c r="A57" s="64" t="s">
        <v>88</v>
      </c>
      <c r="B57" s="65"/>
      <c r="C57" s="59" t="s">
        <v>23</v>
      </c>
      <c r="D57" s="60" t="s">
        <v>88</v>
      </c>
      <c r="E57" s="61">
        <v>401120</v>
      </c>
      <c r="F57" s="61">
        <v>401120</v>
      </c>
      <c r="G57" s="62"/>
      <c r="H57" s="63" t="e">
        <f>E57/#REF!</f>
        <v>#REF!</v>
      </c>
      <c r="I57" s="61">
        <v>8300000</v>
      </c>
      <c r="J57" s="61"/>
      <c r="K57" s="61">
        <v>401120</v>
      </c>
      <c r="L57" s="61"/>
      <c r="M57" s="63" t="e">
        <f t="shared" si="3"/>
        <v>#DIV/0!</v>
      </c>
      <c r="N57" s="61"/>
      <c r="O57" s="63">
        <f t="shared" si="0"/>
        <v>0.04832771084337349</v>
      </c>
      <c r="P57" s="61" t="e">
        <f>E57-#REF!</f>
        <v>#REF!</v>
      </c>
      <c r="Q57" s="68"/>
    </row>
    <row r="58" spans="1:17" ht="85.5" customHeight="1" hidden="1" outlineLevel="4">
      <c r="A58" s="64" t="s">
        <v>89</v>
      </c>
      <c r="B58" s="65"/>
      <c r="C58" s="59" t="s">
        <v>90</v>
      </c>
      <c r="D58" s="60" t="s">
        <v>89</v>
      </c>
      <c r="E58" s="61">
        <v>0</v>
      </c>
      <c r="F58" s="61">
        <v>401120</v>
      </c>
      <c r="G58" s="62"/>
      <c r="H58" s="63" t="e">
        <f>E58/#REF!</f>
        <v>#REF!</v>
      </c>
      <c r="I58" s="61">
        <v>8300000</v>
      </c>
      <c r="J58" s="61"/>
      <c r="K58" s="61">
        <v>401120</v>
      </c>
      <c r="L58" s="61"/>
      <c r="M58" s="63" t="e">
        <f t="shared" si="3"/>
        <v>#DIV/0!</v>
      </c>
      <c r="N58" s="61"/>
      <c r="O58" s="63">
        <f t="shared" si="0"/>
        <v>0.04832771084337349</v>
      </c>
      <c r="P58" s="61" t="e">
        <f>E58-#REF!</f>
        <v>#REF!</v>
      </c>
      <c r="Q58" s="68"/>
    </row>
    <row r="59" spans="1:17" ht="99.75" customHeight="1" hidden="1" outlineLevel="5">
      <c r="A59" s="64" t="s">
        <v>89</v>
      </c>
      <c r="B59" s="65"/>
      <c r="C59" s="59" t="s">
        <v>91</v>
      </c>
      <c r="D59" s="60" t="s">
        <v>89</v>
      </c>
      <c r="E59" s="61">
        <v>401106.8</v>
      </c>
      <c r="F59" s="61">
        <v>0</v>
      </c>
      <c r="G59" s="62"/>
      <c r="H59" s="63" t="e">
        <f>E59/#REF!</f>
        <v>#REF!</v>
      </c>
      <c r="I59" s="61">
        <v>8300000</v>
      </c>
      <c r="J59" s="61"/>
      <c r="K59" s="61">
        <v>0</v>
      </c>
      <c r="L59" s="61"/>
      <c r="M59" s="63" t="e">
        <f t="shared" si="3"/>
        <v>#DIV/0!</v>
      </c>
      <c r="N59" s="61"/>
      <c r="O59" s="63">
        <f t="shared" si="0"/>
        <v>0</v>
      </c>
      <c r="P59" s="61" t="e">
        <f>E59-#REF!</f>
        <v>#REF!</v>
      </c>
      <c r="Q59" s="68"/>
    </row>
    <row r="60" spans="1:17" ht="99.75" customHeight="1" hidden="1" outlineLevel="5">
      <c r="A60" s="64" t="s">
        <v>92</v>
      </c>
      <c r="B60" s="65"/>
      <c r="C60" s="59" t="s">
        <v>91</v>
      </c>
      <c r="D60" s="60" t="s">
        <v>92</v>
      </c>
      <c r="E60" s="61">
        <v>13.2</v>
      </c>
      <c r="F60" s="61">
        <v>401106.8</v>
      </c>
      <c r="G60" s="62"/>
      <c r="H60" s="63" t="e">
        <f>E60/#REF!</f>
        <v>#REF!</v>
      </c>
      <c r="I60" s="61">
        <v>0</v>
      </c>
      <c r="J60" s="61"/>
      <c r="K60" s="61">
        <v>401106.8</v>
      </c>
      <c r="L60" s="61"/>
      <c r="M60" s="63" t="e">
        <f t="shared" si="3"/>
        <v>#DIV/0!</v>
      </c>
      <c r="N60" s="61"/>
      <c r="O60" s="63" t="e">
        <f t="shared" si="0"/>
        <v>#DIV/0!</v>
      </c>
      <c r="P60" s="61" t="e">
        <f>E60-#REF!</f>
        <v>#REF!</v>
      </c>
      <c r="Q60" s="68"/>
    </row>
    <row r="61" spans="1:17" ht="99.75" customHeight="1" hidden="1" outlineLevel="5">
      <c r="A61" s="64" t="s">
        <v>93</v>
      </c>
      <c r="B61" s="65"/>
      <c r="C61" s="59" t="s">
        <v>91</v>
      </c>
      <c r="D61" s="60" t="s">
        <v>93</v>
      </c>
      <c r="E61" s="51">
        <f>E62+E63+E64</f>
        <v>172244710.82</v>
      </c>
      <c r="F61" s="61">
        <v>13.2</v>
      </c>
      <c r="G61" s="62"/>
      <c r="H61" s="63" t="e">
        <f>E61/#REF!</f>
        <v>#REF!</v>
      </c>
      <c r="I61" s="61">
        <v>0</v>
      </c>
      <c r="J61" s="61"/>
      <c r="K61" s="61">
        <v>13.2</v>
      </c>
      <c r="L61" s="61"/>
      <c r="M61" s="63" t="e">
        <f t="shared" si="3"/>
        <v>#DIV/0!</v>
      </c>
      <c r="N61" s="61"/>
      <c r="O61" s="63" t="e">
        <f t="shared" si="0"/>
        <v>#DIV/0!</v>
      </c>
      <c r="P61" s="61" t="e">
        <f>E61-#REF!</f>
        <v>#REF!</v>
      </c>
      <c r="Q61" s="68"/>
    </row>
    <row r="62" spans="1:17" s="32" customFormat="1" ht="22.5" customHeight="1" outlineLevel="1" collapsed="1">
      <c r="A62" s="24" t="s">
        <v>94</v>
      </c>
      <c r="B62" s="48" t="s">
        <v>95</v>
      </c>
      <c r="C62" s="49" t="s">
        <v>96</v>
      </c>
      <c r="D62" s="50" t="s">
        <v>94</v>
      </c>
      <c r="E62" s="51">
        <f>E63+E64+E65</f>
        <v>95317580.9</v>
      </c>
      <c r="F62" s="51">
        <f>F63+F64+F65</f>
        <v>45256490.63</v>
      </c>
      <c r="G62" s="58">
        <f>F62-E62</f>
        <v>-50061090.27</v>
      </c>
      <c r="H62" s="54">
        <f aca="true" t="shared" si="10" ref="H62:H72">F62/E62</f>
        <v>0.4747968863947532</v>
      </c>
      <c r="I62" s="51">
        <f>I63+I64+I65</f>
        <v>65255457.63</v>
      </c>
      <c r="J62" s="51">
        <f>J63+J64+J65</f>
        <v>3543302</v>
      </c>
      <c r="K62" s="51">
        <f>K63+K64+K65</f>
        <v>33663188.16</v>
      </c>
      <c r="L62" s="51">
        <f>K62-J62</f>
        <v>30119886.159999996</v>
      </c>
      <c r="M62" s="54">
        <f t="shared" si="3"/>
        <v>-1.3035165090902043</v>
      </c>
      <c r="N62" s="51">
        <f>N63+N64+N65</f>
        <v>-31592269.470000003</v>
      </c>
      <c r="O62" s="54">
        <f t="shared" si="0"/>
        <v>0.5158677815252032</v>
      </c>
      <c r="P62" s="51">
        <f aca="true" t="shared" si="11" ref="P62:P72">K62-F62</f>
        <v>-11593302.470000006</v>
      </c>
      <c r="Q62" s="149" t="s">
        <v>267</v>
      </c>
    </row>
    <row r="63" spans="1:17" ht="28.5" outlineLevel="2">
      <c r="A63" s="64" t="s">
        <v>97</v>
      </c>
      <c r="B63" s="65" t="s">
        <v>98</v>
      </c>
      <c r="C63" s="59" t="s">
        <v>99</v>
      </c>
      <c r="D63" s="60" t="s">
        <v>97</v>
      </c>
      <c r="E63" s="61">
        <v>14947482.35</v>
      </c>
      <c r="F63" s="61">
        <v>1612144.94</v>
      </c>
      <c r="G63" s="62">
        <f>F63-E63</f>
        <v>-13335337.41</v>
      </c>
      <c r="H63" s="63">
        <f t="shared" si="10"/>
        <v>0.10785394504914736</v>
      </c>
      <c r="I63" s="61">
        <v>11900000</v>
      </c>
      <c r="J63" s="61">
        <v>80000</v>
      </c>
      <c r="K63" s="61">
        <v>2217023.99</v>
      </c>
      <c r="L63" s="61">
        <f>K63-J63</f>
        <v>2137023.99</v>
      </c>
      <c r="M63" s="63">
        <f t="shared" si="3"/>
        <v>-0.8923658722782928</v>
      </c>
      <c r="N63" s="61">
        <f>K63-I63</f>
        <v>-9682976.01</v>
      </c>
      <c r="O63" s="63">
        <f t="shared" si="0"/>
        <v>0.18630453697478994</v>
      </c>
      <c r="P63" s="61">
        <f t="shared" si="11"/>
        <v>604879.0500000003</v>
      </c>
      <c r="Q63" s="66"/>
    </row>
    <row r="64" spans="1:17" ht="145.5" customHeight="1" outlineLevel="4">
      <c r="A64" s="64" t="s">
        <v>100</v>
      </c>
      <c r="B64" s="65" t="s">
        <v>101</v>
      </c>
      <c r="C64" s="59" t="s">
        <v>102</v>
      </c>
      <c r="D64" s="60" t="s">
        <v>100</v>
      </c>
      <c r="E64" s="61">
        <v>61979647.57</v>
      </c>
      <c r="F64" s="61">
        <v>42002635.88</v>
      </c>
      <c r="G64" s="62">
        <f>F64-E64</f>
        <v>-19977011.689999998</v>
      </c>
      <c r="H64" s="63">
        <f t="shared" si="10"/>
        <v>0.677684329078543</v>
      </c>
      <c r="I64" s="61">
        <v>36355457.63</v>
      </c>
      <c r="J64" s="61">
        <v>3011857</v>
      </c>
      <c r="K64" s="61">
        <v>28976972.55</v>
      </c>
      <c r="L64" s="61">
        <f>K64-J64</f>
        <v>25965115.55</v>
      </c>
      <c r="M64" s="63">
        <f t="shared" si="3"/>
        <v>-1.8198646621505785</v>
      </c>
      <c r="N64" s="61">
        <f>K64-I64</f>
        <v>-7378485.080000002</v>
      </c>
      <c r="O64" s="63">
        <f t="shared" si="0"/>
        <v>0.7970460128684673</v>
      </c>
      <c r="P64" s="61">
        <f>K64-F64</f>
        <v>-13025663.330000002</v>
      </c>
      <c r="Q64" s="66" t="s">
        <v>296</v>
      </c>
    </row>
    <row r="65" spans="1:17" ht="56.25" customHeight="1" outlineLevel="4">
      <c r="A65" s="64" t="s">
        <v>103</v>
      </c>
      <c r="B65" s="65" t="s">
        <v>104</v>
      </c>
      <c r="C65" s="59" t="s">
        <v>105</v>
      </c>
      <c r="D65" s="60" t="s">
        <v>103</v>
      </c>
      <c r="E65" s="61">
        <v>18390450.98</v>
      </c>
      <c r="F65" s="61">
        <v>1641709.81</v>
      </c>
      <c r="G65" s="62">
        <f>F65-E65</f>
        <v>-16748741.17</v>
      </c>
      <c r="H65" s="63">
        <f t="shared" si="10"/>
        <v>0.08926968739295157</v>
      </c>
      <c r="I65" s="61">
        <v>17000000</v>
      </c>
      <c r="J65" s="61">
        <v>451445</v>
      </c>
      <c r="K65" s="61">
        <v>2469191.62</v>
      </c>
      <c r="L65" s="61">
        <f>K65-J65</f>
        <v>2017746.62</v>
      </c>
      <c r="M65" s="63">
        <f t="shared" si="3"/>
        <v>-1.0150016545989766</v>
      </c>
      <c r="N65" s="61">
        <f>K65-I65</f>
        <v>-14530808.379999999</v>
      </c>
      <c r="O65" s="63">
        <f t="shared" si="0"/>
        <v>0.14524656588235293</v>
      </c>
      <c r="P65" s="61">
        <f t="shared" si="11"/>
        <v>827481.81</v>
      </c>
      <c r="Q65" s="66"/>
    </row>
    <row r="66" spans="1:17" s="32" customFormat="1" ht="32.25" customHeight="1" outlineLevel="1">
      <c r="A66" s="24" t="s">
        <v>106</v>
      </c>
      <c r="B66" s="48" t="s">
        <v>107</v>
      </c>
      <c r="C66" s="49" t="s">
        <v>108</v>
      </c>
      <c r="D66" s="50" t="s">
        <v>106</v>
      </c>
      <c r="E66" s="51">
        <f>E67+E72</f>
        <v>10536108.33</v>
      </c>
      <c r="F66" s="51">
        <f>F67+F72</f>
        <v>5883165.99</v>
      </c>
      <c r="G66" s="58">
        <f>G67+G72</f>
        <v>-4652942.34</v>
      </c>
      <c r="H66" s="54">
        <f t="shared" si="10"/>
        <v>0.5583813117456814</v>
      </c>
      <c r="I66" s="51">
        <f>I67+I72</f>
        <v>11535000</v>
      </c>
      <c r="J66" s="51">
        <f>J67+J72</f>
        <v>605206</v>
      </c>
      <c r="K66" s="51">
        <f>K67+K72</f>
        <v>6329598.65</v>
      </c>
      <c r="L66" s="51">
        <f>K66-J66</f>
        <v>5724392.65</v>
      </c>
      <c r="M66" s="54">
        <f t="shared" si="3"/>
        <v>-2.4790764976468633</v>
      </c>
      <c r="N66" s="51">
        <f>N67+N72</f>
        <v>-5205401.35</v>
      </c>
      <c r="O66" s="54">
        <f t="shared" si="0"/>
        <v>0.5487298352839185</v>
      </c>
      <c r="P66" s="51">
        <f t="shared" si="11"/>
        <v>446432.66000000015</v>
      </c>
      <c r="Q66" s="56"/>
    </row>
    <row r="67" spans="1:17" ht="91.5" customHeight="1" outlineLevel="2">
      <c r="A67" s="64" t="s">
        <v>109</v>
      </c>
      <c r="B67" s="65" t="s">
        <v>110</v>
      </c>
      <c r="C67" s="59" t="s">
        <v>111</v>
      </c>
      <c r="D67" s="60" t="s">
        <v>109</v>
      </c>
      <c r="E67" s="61">
        <v>10431108.33</v>
      </c>
      <c r="F67" s="61">
        <v>5808165.99</v>
      </c>
      <c r="G67" s="62">
        <f aca="true" t="shared" si="12" ref="G67:G72">F67-E67</f>
        <v>-4622942.34</v>
      </c>
      <c r="H67" s="63">
        <f t="shared" si="10"/>
        <v>0.5568119711014448</v>
      </c>
      <c r="I67" s="61">
        <v>11500000</v>
      </c>
      <c r="J67" s="61">
        <v>605206</v>
      </c>
      <c r="K67" s="61">
        <v>6274598.65</v>
      </c>
      <c r="L67" s="61">
        <f>K67-J67</f>
        <v>5669392.65</v>
      </c>
      <c r="M67" s="63">
        <f t="shared" si="3"/>
        <v>-2.487593215363357</v>
      </c>
      <c r="N67" s="61">
        <f aca="true" t="shared" si="13" ref="N67:N72">K67-I67</f>
        <v>-5225401.35</v>
      </c>
      <c r="O67" s="63">
        <f t="shared" si="0"/>
        <v>0.5456172739130435</v>
      </c>
      <c r="P67" s="61">
        <f t="shared" si="11"/>
        <v>466432.66000000015</v>
      </c>
      <c r="Q67" s="67"/>
    </row>
    <row r="68" spans="1:17" ht="15" customHeight="1" hidden="1" outlineLevel="3">
      <c r="A68" s="64" t="s">
        <v>112</v>
      </c>
      <c r="B68" s="65"/>
      <c r="C68" s="59" t="s">
        <v>23</v>
      </c>
      <c r="D68" s="60" t="s">
        <v>112</v>
      </c>
      <c r="E68" s="61"/>
      <c r="F68" s="61"/>
      <c r="G68" s="62">
        <f t="shared" si="12"/>
        <v>0</v>
      </c>
      <c r="H68" s="63" t="e">
        <f t="shared" si="10"/>
        <v>#DIV/0!</v>
      </c>
      <c r="I68" s="61"/>
      <c r="J68" s="61"/>
      <c r="K68" s="61"/>
      <c r="L68" s="61">
        <f>I68-G68</f>
        <v>0</v>
      </c>
      <c r="M68" s="63" t="e">
        <f t="shared" si="3"/>
        <v>#DIV/0!</v>
      </c>
      <c r="N68" s="61">
        <f t="shared" si="13"/>
        <v>0</v>
      </c>
      <c r="O68" s="63" t="e">
        <f t="shared" si="0"/>
        <v>#DIV/0!</v>
      </c>
      <c r="P68" s="61">
        <f t="shared" si="11"/>
        <v>0</v>
      </c>
      <c r="Q68" s="68"/>
    </row>
    <row r="69" spans="1:17" ht="114" customHeight="1" hidden="1" outlineLevel="4">
      <c r="A69" s="64" t="s">
        <v>113</v>
      </c>
      <c r="B69" s="65"/>
      <c r="C69" s="59" t="s">
        <v>114</v>
      </c>
      <c r="D69" s="60" t="s">
        <v>113</v>
      </c>
      <c r="E69" s="61"/>
      <c r="F69" s="61"/>
      <c r="G69" s="62">
        <f t="shared" si="12"/>
        <v>0</v>
      </c>
      <c r="H69" s="63" t="e">
        <f t="shared" si="10"/>
        <v>#DIV/0!</v>
      </c>
      <c r="I69" s="61"/>
      <c r="J69" s="61"/>
      <c r="K69" s="61"/>
      <c r="L69" s="61">
        <f>I69-G69</f>
        <v>0</v>
      </c>
      <c r="M69" s="63" t="e">
        <f t="shared" si="3"/>
        <v>#DIV/0!</v>
      </c>
      <c r="N69" s="61">
        <f t="shared" si="13"/>
        <v>0</v>
      </c>
      <c r="O69" s="63" t="e">
        <f t="shared" si="0"/>
        <v>#DIV/0!</v>
      </c>
      <c r="P69" s="61">
        <f t="shared" si="11"/>
        <v>0</v>
      </c>
      <c r="Q69" s="68"/>
    </row>
    <row r="70" spans="1:17" ht="128.25" customHeight="1" hidden="1" outlineLevel="5">
      <c r="A70" s="64" t="s">
        <v>113</v>
      </c>
      <c r="B70" s="65"/>
      <c r="C70" s="59" t="s">
        <v>115</v>
      </c>
      <c r="D70" s="60" t="s">
        <v>113</v>
      </c>
      <c r="E70" s="61"/>
      <c r="F70" s="61"/>
      <c r="G70" s="62">
        <f t="shared" si="12"/>
        <v>0</v>
      </c>
      <c r="H70" s="63" t="e">
        <f t="shared" si="10"/>
        <v>#DIV/0!</v>
      </c>
      <c r="I70" s="61"/>
      <c r="J70" s="61"/>
      <c r="K70" s="61"/>
      <c r="L70" s="61">
        <f>I70-G70</f>
        <v>0</v>
      </c>
      <c r="M70" s="63" t="e">
        <f t="shared" si="3"/>
        <v>#DIV/0!</v>
      </c>
      <c r="N70" s="61">
        <f t="shared" si="13"/>
        <v>0</v>
      </c>
      <c r="O70" s="63" t="e">
        <f t="shared" si="0"/>
        <v>#DIV/0!</v>
      </c>
      <c r="P70" s="61">
        <f t="shared" si="11"/>
        <v>0</v>
      </c>
      <c r="Q70" s="68"/>
    </row>
    <row r="71" spans="1:17" ht="171" customHeight="1" hidden="1" outlineLevel="5">
      <c r="A71" s="64" t="s">
        <v>116</v>
      </c>
      <c r="B71" s="65"/>
      <c r="C71" s="59" t="s">
        <v>117</v>
      </c>
      <c r="D71" s="60" t="s">
        <v>116</v>
      </c>
      <c r="E71" s="61"/>
      <c r="F71" s="61"/>
      <c r="G71" s="62">
        <f t="shared" si="12"/>
        <v>0</v>
      </c>
      <c r="H71" s="63" t="e">
        <f t="shared" si="10"/>
        <v>#DIV/0!</v>
      </c>
      <c r="I71" s="61"/>
      <c r="J71" s="61"/>
      <c r="K71" s="61"/>
      <c r="L71" s="61">
        <f>I71-G71</f>
        <v>0</v>
      </c>
      <c r="M71" s="63" t="e">
        <f t="shared" si="3"/>
        <v>#DIV/0!</v>
      </c>
      <c r="N71" s="61">
        <f t="shared" si="13"/>
        <v>0</v>
      </c>
      <c r="O71" s="63" t="e">
        <f t="shared" si="0"/>
        <v>#DIV/0!</v>
      </c>
      <c r="P71" s="61">
        <f t="shared" si="11"/>
        <v>0</v>
      </c>
      <c r="Q71" s="68"/>
    </row>
    <row r="72" spans="1:17" ht="78.75" customHeight="1" outlineLevel="2" collapsed="1">
      <c r="A72" s="64" t="s">
        <v>118</v>
      </c>
      <c r="B72" s="65" t="s">
        <v>119</v>
      </c>
      <c r="C72" s="59" t="s">
        <v>120</v>
      </c>
      <c r="D72" s="60" t="s">
        <v>118</v>
      </c>
      <c r="E72" s="62">
        <v>105000</v>
      </c>
      <c r="F72" s="62">
        <v>75000</v>
      </c>
      <c r="G72" s="62">
        <f t="shared" si="12"/>
        <v>-30000</v>
      </c>
      <c r="H72" s="63">
        <f t="shared" si="10"/>
        <v>0.7142857142857143</v>
      </c>
      <c r="I72" s="61">
        <v>35000</v>
      </c>
      <c r="J72" s="61"/>
      <c r="K72" s="62">
        <v>55000</v>
      </c>
      <c r="L72" s="61">
        <f>K72-J72</f>
        <v>55000</v>
      </c>
      <c r="M72" s="63">
        <f t="shared" si="3"/>
        <v>-1.1666666666666667</v>
      </c>
      <c r="N72" s="61">
        <f t="shared" si="13"/>
        <v>20000</v>
      </c>
      <c r="O72" s="63">
        <f t="shared" si="0"/>
        <v>1.5714285714285714</v>
      </c>
      <c r="P72" s="61">
        <f t="shared" si="11"/>
        <v>-20000</v>
      </c>
      <c r="Q72" s="66"/>
    </row>
    <row r="73" spans="1:17" ht="15" customHeight="1" hidden="1" outlineLevel="3">
      <c r="A73" s="64" t="s">
        <v>121</v>
      </c>
      <c r="B73" s="65"/>
      <c r="C73" s="59" t="s">
        <v>23</v>
      </c>
      <c r="D73" s="60" t="s">
        <v>121</v>
      </c>
      <c r="E73" s="61">
        <v>0</v>
      </c>
      <c r="F73" s="61">
        <v>0</v>
      </c>
      <c r="G73" s="62"/>
      <c r="H73" s="63" t="e">
        <f>E73/#REF!</f>
        <v>#REF!</v>
      </c>
      <c r="I73" s="61">
        <v>60000</v>
      </c>
      <c r="J73" s="61"/>
      <c r="K73" s="61">
        <v>0</v>
      </c>
      <c r="L73" s="61"/>
      <c r="M73" s="63" t="e">
        <f t="shared" si="3"/>
        <v>#DIV/0!</v>
      </c>
      <c r="N73" s="61"/>
      <c r="O73" s="63">
        <f t="shared" si="0"/>
        <v>0</v>
      </c>
      <c r="P73" s="61" t="e">
        <f>E73-#REF!</f>
        <v>#REF!</v>
      </c>
      <c r="Q73" s="68"/>
    </row>
    <row r="74" spans="1:17" ht="57" customHeight="1" hidden="1" outlineLevel="4">
      <c r="A74" s="64" t="s">
        <v>122</v>
      </c>
      <c r="B74" s="65"/>
      <c r="C74" s="59" t="s">
        <v>123</v>
      </c>
      <c r="D74" s="60" t="s">
        <v>122</v>
      </c>
      <c r="E74" s="61">
        <v>0</v>
      </c>
      <c r="F74" s="61">
        <v>0</v>
      </c>
      <c r="G74" s="62"/>
      <c r="H74" s="63" t="e">
        <f>E74/#REF!</f>
        <v>#REF!</v>
      </c>
      <c r="I74" s="61">
        <v>60000</v>
      </c>
      <c r="J74" s="61"/>
      <c r="K74" s="61">
        <v>0</v>
      </c>
      <c r="L74" s="61"/>
      <c r="M74" s="63" t="e">
        <f t="shared" si="3"/>
        <v>#DIV/0!</v>
      </c>
      <c r="N74" s="61"/>
      <c r="O74" s="63">
        <f t="shared" si="0"/>
        <v>0</v>
      </c>
      <c r="P74" s="61" t="e">
        <f>E74-#REF!</f>
        <v>#REF!</v>
      </c>
      <c r="Q74" s="68"/>
    </row>
    <row r="75" spans="1:17" ht="71.25" customHeight="1" hidden="1" outlineLevel="5">
      <c r="A75" s="64" t="s">
        <v>122</v>
      </c>
      <c r="B75" s="65"/>
      <c r="C75" s="59" t="s">
        <v>124</v>
      </c>
      <c r="D75" s="60" t="s">
        <v>122</v>
      </c>
      <c r="E75" s="51">
        <v>-23389.69</v>
      </c>
      <c r="F75" s="61">
        <v>0</v>
      </c>
      <c r="G75" s="62"/>
      <c r="H75" s="63" t="e">
        <f>E75/#REF!</f>
        <v>#REF!</v>
      </c>
      <c r="I75" s="61">
        <v>60000</v>
      </c>
      <c r="J75" s="61"/>
      <c r="K75" s="61">
        <v>0</v>
      </c>
      <c r="L75" s="61"/>
      <c r="M75" s="63" t="e">
        <f t="shared" si="3"/>
        <v>#DIV/0!</v>
      </c>
      <c r="N75" s="61"/>
      <c r="O75" s="63">
        <f t="shared" si="0"/>
        <v>0</v>
      </c>
      <c r="P75" s="61" t="e">
        <f>E75-#REF!</f>
        <v>#REF!</v>
      </c>
      <c r="Q75" s="68"/>
    </row>
    <row r="76" spans="1:17" s="32" customFormat="1" ht="83.25" customHeight="1" outlineLevel="1" collapsed="1">
      <c r="A76" s="24" t="s">
        <v>125</v>
      </c>
      <c r="B76" s="48" t="s">
        <v>126</v>
      </c>
      <c r="C76" s="49" t="s">
        <v>127</v>
      </c>
      <c r="D76" s="50" t="s">
        <v>125</v>
      </c>
      <c r="E76" s="51">
        <v>-23389.69</v>
      </c>
      <c r="F76" s="51">
        <v>-23369.36</v>
      </c>
      <c r="G76" s="58">
        <f>F76-E76</f>
        <v>20.32999999999811</v>
      </c>
      <c r="H76" s="54">
        <f>F76/E76</f>
        <v>0.999130813619163</v>
      </c>
      <c r="I76" s="51"/>
      <c r="J76" s="51"/>
      <c r="K76" s="51">
        <v>942.29</v>
      </c>
      <c r="L76" s="51">
        <f>K76-J76</f>
        <v>942.29</v>
      </c>
      <c r="M76" s="54"/>
      <c r="N76" s="51"/>
      <c r="O76" s="54"/>
      <c r="P76" s="51">
        <f>K76-F76</f>
        <v>24311.65</v>
      </c>
      <c r="Q76" s="56"/>
    </row>
    <row r="77" spans="1:17" s="32" customFormat="1" ht="15.75" customHeight="1" hidden="1" outlineLevel="3">
      <c r="A77" s="24" t="s">
        <v>128</v>
      </c>
      <c r="B77" s="48"/>
      <c r="C77" s="49" t="s">
        <v>23</v>
      </c>
      <c r="D77" s="50" t="s">
        <v>128</v>
      </c>
      <c r="E77" s="51">
        <v>78.92</v>
      </c>
      <c r="F77" s="51">
        <v>78.92</v>
      </c>
      <c r="G77" s="58"/>
      <c r="H77" s="54" t="e">
        <f>E77/#REF!</f>
        <v>#REF!</v>
      </c>
      <c r="I77" s="51">
        <v>0</v>
      </c>
      <c r="J77" s="51"/>
      <c r="K77" s="51">
        <v>78.92</v>
      </c>
      <c r="L77" s="51"/>
      <c r="M77" s="54" t="e">
        <f>I77/G77</f>
        <v>#DIV/0!</v>
      </c>
      <c r="N77" s="51"/>
      <c r="O77" s="54" t="e">
        <f t="shared" si="0"/>
        <v>#DIV/0!</v>
      </c>
      <c r="P77" s="51" t="e">
        <f>E77-#REF!</f>
        <v>#REF!</v>
      </c>
      <c r="Q77" s="69"/>
    </row>
    <row r="78" spans="1:17" s="32" customFormat="1" ht="180" customHeight="1" hidden="1" outlineLevel="4">
      <c r="A78" s="24" t="s">
        <v>129</v>
      </c>
      <c r="B78" s="48"/>
      <c r="C78" s="49" t="s">
        <v>130</v>
      </c>
      <c r="D78" s="50" t="s">
        <v>129</v>
      </c>
      <c r="E78" s="51">
        <v>78.92</v>
      </c>
      <c r="F78" s="51">
        <v>78.92</v>
      </c>
      <c r="G78" s="58"/>
      <c r="H78" s="54" t="e">
        <f>E78/#REF!</f>
        <v>#REF!</v>
      </c>
      <c r="I78" s="51">
        <v>0</v>
      </c>
      <c r="J78" s="51"/>
      <c r="K78" s="51">
        <v>78.92</v>
      </c>
      <c r="L78" s="51"/>
      <c r="M78" s="54" t="e">
        <f>I78/G78</f>
        <v>#DIV/0!</v>
      </c>
      <c r="N78" s="51"/>
      <c r="O78" s="54" t="e">
        <f t="shared" si="0"/>
        <v>#DIV/0!</v>
      </c>
      <c r="P78" s="51" t="e">
        <f>E78-#REF!</f>
        <v>#REF!</v>
      </c>
      <c r="Q78" s="69"/>
    </row>
    <row r="79" spans="1:17" s="32" customFormat="1" ht="180" customHeight="1" hidden="1" outlineLevel="5">
      <c r="A79" s="24" t="s">
        <v>131</v>
      </c>
      <c r="B79" s="48"/>
      <c r="C79" s="49" t="s">
        <v>132</v>
      </c>
      <c r="D79" s="50" t="s">
        <v>131</v>
      </c>
      <c r="E79" s="72">
        <f>E80+E89+E105+E108+E111+E112</f>
        <v>106887173.90000002</v>
      </c>
      <c r="F79" s="51">
        <v>78.92</v>
      </c>
      <c r="G79" s="58"/>
      <c r="H79" s="54" t="e">
        <f>E79/#REF!</f>
        <v>#REF!</v>
      </c>
      <c r="I79" s="51">
        <v>0</v>
      </c>
      <c r="J79" s="51"/>
      <c r="K79" s="51">
        <v>78.92</v>
      </c>
      <c r="L79" s="51"/>
      <c r="M79" s="54" t="e">
        <f>I79/G79</f>
        <v>#DIV/0!</v>
      </c>
      <c r="N79" s="51"/>
      <c r="O79" s="54" t="e">
        <f>K79/I79</f>
        <v>#DIV/0!</v>
      </c>
      <c r="P79" s="51" t="e">
        <f>E79-#REF!</f>
        <v>#REF!</v>
      </c>
      <c r="Q79" s="69"/>
    </row>
    <row r="80" spans="1:17" s="32" customFormat="1" ht="39" customHeight="1" outlineLevel="5">
      <c r="A80" s="24"/>
      <c r="B80" s="48" t="s">
        <v>133</v>
      </c>
      <c r="C80" s="70" t="s">
        <v>134</v>
      </c>
      <c r="D80" s="71"/>
      <c r="E80" s="72">
        <f>E81+E90+E106+E109+E112+E113</f>
        <v>73494552.89</v>
      </c>
      <c r="F80" s="72">
        <f>F81+F90+F106+F109+F112+F113</f>
        <v>37156340.36</v>
      </c>
      <c r="G80" s="72">
        <f>G81+G90+G106+G109+G112+G113</f>
        <v>-36326510.989999995</v>
      </c>
      <c r="H80" s="72">
        <f>F80/E80</f>
        <v>0.505565907933507</v>
      </c>
      <c r="I80" s="72">
        <f>I81+I90+I106+I109+I112+I113</f>
        <v>129125832.09</v>
      </c>
      <c r="J80" s="72">
        <f>J81+J90+J106+J109+J112+J113</f>
        <v>2230316.48</v>
      </c>
      <c r="K80" s="72">
        <f>K81+K90+K106+K109+K112+K113</f>
        <v>85637124.07999998</v>
      </c>
      <c r="L80" s="72">
        <f>K80-J80</f>
        <v>83406807.59999998</v>
      </c>
      <c r="M80" s="72" t="e">
        <f>M81+M90+M106+M109+M112+M113</f>
        <v>#DIV/0!</v>
      </c>
      <c r="N80" s="72">
        <f>N81+N90+N106+N109+N112+N113</f>
        <v>-43488708.01</v>
      </c>
      <c r="O80" s="156">
        <f aca="true" t="shared" si="14" ref="O80:O127">K80/I80</f>
        <v>0.6632067549451405</v>
      </c>
      <c r="P80" s="72">
        <f>K80-F80</f>
        <v>48480783.719999984</v>
      </c>
      <c r="Q80" s="56"/>
    </row>
    <row r="81" spans="1:17" s="32" customFormat="1" ht="72" customHeight="1" outlineLevel="1">
      <c r="A81" s="24" t="s">
        <v>135</v>
      </c>
      <c r="B81" s="48" t="s">
        <v>136</v>
      </c>
      <c r="C81" s="49" t="s">
        <v>137</v>
      </c>
      <c r="D81" s="50" t="s">
        <v>135</v>
      </c>
      <c r="E81" s="51">
        <f>E82+E83+E84+E85+E89</f>
        <v>37416244.75</v>
      </c>
      <c r="F81" s="51">
        <f>F82+F83+F84+F85+F89</f>
        <v>18854743.240000002</v>
      </c>
      <c r="G81" s="58">
        <f>G82+G83+G85+G89</f>
        <v>-18532261.37</v>
      </c>
      <c r="H81" s="54">
        <f>F81/E81</f>
        <v>0.5039186419155547</v>
      </c>
      <c r="I81" s="51">
        <f>I82+I83+I84+I85+I89</f>
        <v>26290475.19</v>
      </c>
      <c r="J81" s="51">
        <f>J82+J83+J84+J85+J89</f>
        <v>859800</v>
      </c>
      <c r="K81" s="51">
        <f>K82+K83+K84+K85+K89</f>
        <v>15298856.08</v>
      </c>
      <c r="L81" s="51">
        <f>K81-J81</f>
        <v>14439056.08</v>
      </c>
      <c r="M81" s="54">
        <f>I81/G81</f>
        <v>-1.4186328729724795</v>
      </c>
      <c r="N81" s="51">
        <f>N82+N83+N84+N85+N89</f>
        <v>-10991619.11</v>
      </c>
      <c r="O81" s="54">
        <f t="shared" si="14"/>
        <v>0.5819163012245272</v>
      </c>
      <c r="P81" s="51">
        <f>K81-F81</f>
        <v>-3555887.160000002</v>
      </c>
      <c r="Q81" s="56"/>
    </row>
    <row r="82" spans="1:17" ht="66.75" customHeight="1" outlineLevel="4">
      <c r="A82" s="64" t="s">
        <v>138</v>
      </c>
      <c r="B82" s="65" t="s">
        <v>139</v>
      </c>
      <c r="C82" s="59" t="s">
        <v>140</v>
      </c>
      <c r="D82" s="60" t="s">
        <v>138</v>
      </c>
      <c r="E82" s="61">
        <v>24363527.29</v>
      </c>
      <c r="F82" s="61">
        <v>8910307.87</v>
      </c>
      <c r="G82" s="62">
        <f>F82-E82</f>
        <v>-15453219.42</v>
      </c>
      <c r="H82" s="63">
        <f>F82/E82</f>
        <v>0.36572322898652004</v>
      </c>
      <c r="I82" s="61">
        <v>15000000</v>
      </c>
      <c r="J82" s="61">
        <v>350000</v>
      </c>
      <c r="K82" s="61">
        <v>7244803.34</v>
      </c>
      <c r="L82" s="61">
        <f>K82-J82</f>
        <v>6894803.34</v>
      </c>
      <c r="M82" s="63">
        <f>I82/G82</f>
        <v>-0.9706715210803627</v>
      </c>
      <c r="N82" s="61">
        <f>K82-I82</f>
        <v>-7755196.66</v>
      </c>
      <c r="O82" s="63">
        <f t="shared" si="14"/>
        <v>0.48298688933333334</v>
      </c>
      <c r="P82" s="61">
        <f>K82-F82</f>
        <v>-1665504.5299999993</v>
      </c>
      <c r="Q82" s="66" t="s">
        <v>268</v>
      </c>
    </row>
    <row r="83" spans="1:17" ht="61.5" customHeight="1" outlineLevel="4">
      <c r="A83" s="64" t="s">
        <v>141</v>
      </c>
      <c r="B83" s="65" t="s">
        <v>142</v>
      </c>
      <c r="C83" s="59" t="s">
        <v>143</v>
      </c>
      <c r="D83" s="60" t="s">
        <v>141</v>
      </c>
      <c r="E83" s="61">
        <v>977974.72</v>
      </c>
      <c r="F83" s="61">
        <v>559141.15</v>
      </c>
      <c r="G83" s="62">
        <f aca="true" t="shared" si="15" ref="G83:G89">F83-E83</f>
        <v>-418833.56999999995</v>
      </c>
      <c r="H83" s="63">
        <f aca="true" t="shared" si="16" ref="H83:H89">F83/E83</f>
        <v>0.5717337458375202</v>
      </c>
      <c r="I83" s="61">
        <v>987235.05</v>
      </c>
      <c r="J83" s="61">
        <v>109800</v>
      </c>
      <c r="K83" s="61">
        <v>622808.47</v>
      </c>
      <c r="L83" s="61">
        <f aca="true" t="shared" si="17" ref="L83:L89">K83-J83</f>
        <v>513008.47</v>
      </c>
      <c r="M83" s="63">
        <f>I83/G83</f>
        <v>-2.3571058308435022</v>
      </c>
      <c r="N83" s="61">
        <f aca="true" t="shared" si="18" ref="N83:N89">K83-I83</f>
        <v>-364426.5800000001</v>
      </c>
      <c r="O83" s="63">
        <f t="shared" si="14"/>
        <v>0.630861384023997</v>
      </c>
      <c r="P83" s="61">
        <f aca="true" t="shared" si="19" ref="P83:P89">K83-F83</f>
        <v>63667.31999999995</v>
      </c>
      <c r="Q83" s="66"/>
    </row>
    <row r="84" spans="1:17" ht="108" customHeight="1" outlineLevel="4">
      <c r="A84" s="64"/>
      <c r="B84" s="65" t="s">
        <v>144</v>
      </c>
      <c r="C84" s="59" t="s">
        <v>145</v>
      </c>
      <c r="D84" s="60" t="s">
        <v>146</v>
      </c>
      <c r="E84" s="61">
        <v>58480.28</v>
      </c>
      <c r="F84" s="61">
        <v>29240.14</v>
      </c>
      <c r="G84" s="62">
        <f t="shared" si="15"/>
        <v>-29240.14</v>
      </c>
      <c r="H84" s="63">
        <f t="shared" si="16"/>
        <v>0.5</v>
      </c>
      <c r="I84" s="61">
        <v>29240.14</v>
      </c>
      <c r="J84" s="61"/>
      <c r="K84" s="61">
        <v>27691.96</v>
      </c>
      <c r="L84" s="61">
        <f t="shared" si="17"/>
        <v>27691.96</v>
      </c>
      <c r="M84" s="63"/>
      <c r="N84" s="61">
        <f t="shared" si="18"/>
        <v>-1548.1800000000003</v>
      </c>
      <c r="O84" s="63"/>
      <c r="P84" s="61"/>
      <c r="Q84" s="73" t="s">
        <v>147</v>
      </c>
    </row>
    <row r="85" spans="1:17" ht="38.25" customHeight="1" outlineLevel="2">
      <c r="A85" s="64" t="s">
        <v>148</v>
      </c>
      <c r="B85" s="65" t="s">
        <v>149</v>
      </c>
      <c r="C85" s="59" t="s">
        <v>150</v>
      </c>
      <c r="D85" s="60" t="s">
        <v>148</v>
      </c>
      <c r="E85" s="62">
        <v>5843542.64</v>
      </c>
      <c r="F85" s="62">
        <v>5843542.64</v>
      </c>
      <c r="G85" s="62">
        <f t="shared" si="15"/>
        <v>0</v>
      </c>
      <c r="H85" s="63">
        <f t="shared" si="16"/>
        <v>1</v>
      </c>
      <c r="I85" s="61">
        <v>4966000</v>
      </c>
      <c r="J85" s="61"/>
      <c r="K85" s="62">
        <v>4069500</v>
      </c>
      <c r="L85" s="61">
        <f t="shared" si="17"/>
        <v>4069500</v>
      </c>
      <c r="M85" s="63" t="e">
        <f aca="true" t="shared" si="20" ref="M85:M112">I85/G85</f>
        <v>#DIV/0!</v>
      </c>
      <c r="N85" s="61">
        <f t="shared" si="18"/>
        <v>-896500</v>
      </c>
      <c r="O85" s="63">
        <f t="shared" si="14"/>
        <v>0.8194724124043495</v>
      </c>
      <c r="P85" s="61">
        <f t="shared" si="19"/>
        <v>-1774042.6399999997</v>
      </c>
      <c r="Q85" s="66" t="s">
        <v>257</v>
      </c>
    </row>
    <row r="86" spans="1:17" ht="15" customHeight="1" hidden="1" outlineLevel="3">
      <c r="A86" s="64" t="s">
        <v>151</v>
      </c>
      <c r="B86" s="65"/>
      <c r="C86" s="59" t="s">
        <v>23</v>
      </c>
      <c r="D86" s="60" t="s">
        <v>151</v>
      </c>
      <c r="E86" s="61"/>
      <c r="F86" s="61"/>
      <c r="G86" s="62">
        <f t="shared" si="15"/>
        <v>0</v>
      </c>
      <c r="H86" s="63" t="e">
        <f t="shared" si="16"/>
        <v>#DIV/0!</v>
      </c>
      <c r="I86" s="61"/>
      <c r="J86" s="61"/>
      <c r="K86" s="61"/>
      <c r="L86" s="61">
        <f t="shared" si="17"/>
        <v>0</v>
      </c>
      <c r="M86" s="63" t="e">
        <f t="shared" si="20"/>
        <v>#DIV/0!</v>
      </c>
      <c r="N86" s="61">
        <f t="shared" si="18"/>
        <v>0</v>
      </c>
      <c r="O86" s="63" t="e">
        <f t="shared" si="14"/>
        <v>#DIV/0!</v>
      </c>
      <c r="P86" s="61">
        <f t="shared" si="19"/>
        <v>0</v>
      </c>
      <c r="Q86" s="68"/>
    </row>
    <row r="87" spans="1:17" ht="128.25" customHeight="1" hidden="1" outlineLevel="4">
      <c r="A87" s="64" t="s">
        <v>152</v>
      </c>
      <c r="B87" s="65"/>
      <c r="C87" s="59" t="s">
        <v>153</v>
      </c>
      <c r="D87" s="60" t="s">
        <v>152</v>
      </c>
      <c r="E87" s="61"/>
      <c r="F87" s="61"/>
      <c r="G87" s="62">
        <f t="shared" si="15"/>
        <v>0</v>
      </c>
      <c r="H87" s="63" t="e">
        <f t="shared" si="16"/>
        <v>#DIV/0!</v>
      </c>
      <c r="I87" s="61"/>
      <c r="J87" s="61"/>
      <c r="K87" s="61"/>
      <c r="L87" s="61">
        <f t="shared" si="17"/>
        <v>0</v>
      </c>
      <c r="M87" s="63" t="e">
        <f t="shared" si="20"/>
        <v>#DIV/0!</v>
      </c>
      <c r="N87" s="61">
        <f t="shared" si="18"/>
        <v>0</v>
      </c>
      <c r="O87" s="63" t="e">
        <f t="shared" si="14"/>
        <v>#DIV/0!</v>
      </c>
      <c r="P87" s="61">
        <f t="shared" si="19"/>
        <v>0</v>
      </c>
      <c r="Q87" s="68"/>
    </row>
    <row r="88" spans="1:17" ht="128.25" customHeight="1" hidden="1" outlineLevel="5">
      <c r="A88" s="64" t="s">
        <v>152</v>
      </c>
      <c r="B88" s="65"/>
      <c r="C88" s="59" t="s">
        <v>154</v>
      </c>
      <c r="D88" s="60" t="s">
        <v>152</v>
      </c>
      <c r="E88" s="61"/>
      <c r="F88" s="61"/>
      <c r="G88" s="62">
        <f t="shared" si="15"/>
        <v>0</v>
      </c>
      <c r="H88" s="63" t="e">
        <f t="shared" si="16"/>
        <v>#DIV/0!</v>
      </c>
      <c r="I88" s="61"/>
      <c r="J88" s="61"/>
      <c r="K88" s="61"/>
      <c r="L88" s="61">
        <f t="shared" si="17"/>
        <v>0</v>
      </c>
      <c r="M88" s="63" t="e">
        <f t="shared" si="20"/>
        <v>#DIV/0!</v>
      </c>
      <c r="N88" s="61">
        <f t="shared" si="18"/>
        <v>0</v>
      </c>
      <c r="O88" s="63" t="e">
        <f t="shared" si="14"/>
        <v>#DIV/0!</v>
      </c>
      <c r="P88" s="61">
        <f t="shared" si="19"/>
        <v>0</v>
      </c>
      <c r="Q88" s="68"/>
    </row>
    <row r="89" spans="1:17" ht="69.75" customHeight="1" outlineLevel="2" collapsed="1">
      <c r="A89" s="64" t="s">
        <v>155</v>
      </c>
      <c r="B89" s="65" t="s">
        <v>156</v>
      </c>
      <c r="C89" s="59" t="s">
        <v>157</v>
      </c>
      <c r="D89" s="60" t="s">
        <v>155</v>
      </c>
      <c r="E89" s="61">
        <v>6172719.82</v>
      </c>
      <c r="F89" s="61">
        <v>3512511.44</v>
      </c>
      <c r="G89" s="62">
        <f t="shared" si="15"/>
        <v>-2660208.3800000004</v>
      </c>
      <c r="H89" s="63">
        <f t="shared" si="16"/>
        <v>0.5690378864466263</v>
      </c>
      <c r="I89" s="61">
        <v>5308000</v>
      </c>
      <c r="J89" s="61">
        <v>400000</v>
      </c>
      <c r="K89" s="61">
        <v>3334052.31</v>
      </c>
      <c r="L89" s="61">
        <f t="shared" si="17"/>
        <v>2934052.31</v>
      </c>
      <c r="M89" s="63">
        <f t="shared" si="20"/>
        <v>-1.9953324107640016</v>
      </c>
      <c r="N89" s="61">
        <f t="shared" si="18"/>
        <v>-1973947.69</v>
      </c>
      <c r="O89" s="63">
        <f t="shared" si="14"/>
        <v>0.6281183703843256</v>
      </c>
      <c r="P89" s="61">
        <f t="shared" si="19"/>
        <v>-178459.1299999999</v>
      </c>
      <c r="Q89" s="66"/>
    </row>
    <row r="90" spans="1:17" s="32" customFormat="1" ht="98.25" customHeight="1" outlineLevel="1">
      <c r="A90" s="24" t="s">
        <v>158</v>
      </c>
      <c r="B90" s="48" t="s">
        <v>159</v>
      </c>
      <c r="C90" s="49" t="s">
        <v>160</v>
      </c>
      <c r="D90" s="50" t="s">
        <v>158</v>
      </c>
      <c r="E90" s="51">
        <v>485335.25</v>
      </c>
      <c r="F90" s="51">
        <v>342688.35</v>
      </c>
      <c r="G90" s="58">
        <f>F90-E90</f>
        <v>-142646.90000000002</v>
      </c>
      <c r="H90" s="54">
        <f>F90/E90</f>
        <v>0.7060858447846102</v>
      </c>
      <c r="I90" s="51">
        <v>231800</v>
      </c>
      <c r="J90" s="51">
        <v>0</v>
      </c>
      <c r="K90" s="51">
        <v>183258.7</v>
      </c>
      <c r="L90" s="51">
        <f>K90-J90</f>
        <v>183258.7</v>
      </c>
      <c r="M90" s="54">
        <f t="shared" si="20"/>
        <v>-1.6249914999905357</v>
      </c>
      <c r="N90" s="51">
        <f>K90-I90</f>
        <v>-48541.29999999999</v>
      </c>
      <c r="O90" s="54">
        <f t="shared" si="14"/>
        <v>0.7905897325280414</v>
      </c>
      <c r="P90" s="51">
        <f>K90-F90</f>
        <v>-159429.64999999997</v>
      </c>
      <c r="Q90" s="74"/>
    </row>
    <row r="91" spans="1:17" s="32" customFormat="1" ht="15.75" customHeight="1" hidden="1" outlineLevel="3">
      <c r="A91" s="24" t="s">
        <v>161</v>
      </c>
      <c r="B91" s="48"/>
      <c r="C91" s="49" t="s">
        <v>23</v>
      </c>
      <c r="D91" s="50" t="s">
        <v>161</v>
      </c>
      <c r="E91" s="51">
        <v>2890.68</v>
      </c>
      <c r="F91" s="51">
        <v>2890.68</v>
      </c>
      <c r="G91" s="58"/>
      <c r="H91" s="54">
        <f aca="true" t="shared" si="21" ref="H91:H130">F91/E91</f>
        <v>1</v>
      </c>
      <c r="I91" s="51">
        <v>33800</v>
      </c>
      <c r="J91" s="51"/>
      <c r="K91" s="51">
        <v>2890.68</v>
      </c>
      <c r="L91" s="51">
        <f aca="true" t="shared" si="22" ref="L91:L120">K91-J91</f>
        <v>2890.68</v>
      </c>
      <c r="M91" s="54" t="e">
        <f t="shared" si="20"/>
        <v>#DIV/0!</v>
      </c>
      <c r="N91" s="51">
        <f aca="true" t="shared" si="23" ref="N91:N106">K91-I91</f>
        <v>-30909.32</v>
      </c>
      <c r="O91" s="54">
        <f t="shared" si="14"/>
        <v>0.08552307692307692</v>
      </c>
      <c r="P91" s="51">
        <f aca="true" t="shared" si="24" ref="P91:P130">K91-F91</f>
        <v>0</v>
      </c>
      <c r="Q91" s="69"/>
    </row>
    <row r="92" spans="1:17" s="32" customFormat="1" ht="90" customHeight="1" hidden="1" outlineLevel="4">
      <c r="A92" s="24" t="s">
        <v>162</v>
      </c>
      <c r="B92" s="48"/>
      <c r="C92" s="49" t="s">
        <v>163</v>
      </c>
      <c r="D92" s="50" t="s">
        <v>162</v>
      </c>
      <c r="E92" s="51">
        <v>0</v>
      </c>
      <c r="F92" s="51">
        <v>2890.68</v>
      </c>
      <c r="G92" s="58"/>
      <c r="H92" s="54" t="e">
        <f t="shared" si="21"/>
        <v>#DIV/0!</v>
      </c>
      <c r="I92" s="51">
        <v>33800</v>
      </c>
      <c r="J92" s="51"/>
      <c r="K92" s="51">
        <v>2890.68</v>
      </c>
      <c r="L92" s="51">
        <f t="shared" si="22"/>
        <v>2890.68</v>
      </c>
      <c r="M92" s="54" t="e">
        <f t="shared" si="20"/>
        <v>#DIV/0!</v>
      </c>
      <c r="N92" s="51">
        <f t="shared" si="23"/>
        <v>-30909.32</v>
      </c>
      <c r="O92" s="54">
        <f t="shared" si="14"/>
        <v>0.08552307692307692</v>
      </c>
      <c r="P92" s="51">
        <f t="shared" si="24"/>
        <v>0</v>
      </c>
      <c r="Q92" s="69"/>
    </row>
    <row r="93" spans="1:17" s="32" customFormat="1" ht="90" customHeight="1" hidden="1" outlineLevel="5">
      <c r="A93" s="24" t="s">
        <v>162</v>
      </c>
      <c r="B93" s="48"/>
      <c r="C93" s="49" t="s">
        <v>164</v>
      </c>
      <c r="D93" s="50" t="s">
        <v>162</v>
      </c>
      <c r="E93" s="51">
        <v>2890.68</v>
      </c>
      <c r="F93" s="51">
        <v>0</v>
      </c>
      <c r="G93" s="58"/>
      <c r="H93" s="54">
        <f t="shared" si="21"/>
        <v>0</v>
      </c>
      <c r="I93" s="51">
        <v>33800</v>
      </c>
      <c r="J93" s="51"/>
      <c r="K93" s="51">
        <v>0</v>
      </c>
      <c r="L93" s="51">
        <f t="shared" si="22"/>
        <v>0</v>
      </c>
      <c r="M93" s="54" t="e">
        <f t="shared" si="20"/>
        <v>#DIV/0!</v>
      </c>
      <c r="N93" s="51">
        <f t="shared" si="23"/>
        <v>-33800</v>
      </c>
      <c r="O93" s="54">
        <f t="shared" si="14"/>
        <v>0</v>
      </c>
      <c r="P93" s="51">
        <f t="shared" si="24"/>
        <v>0</v>
      </c>
      <c r="Q93" s="69"/>
    </row>
    <row r="94" spans="1:17" s="32" customFormat="1" ht="90" customHeight="1" hidden="1" outlineLevel="5">
      <c r="A94" s="24" t="s">
        <v>165</v>
      </c>
      <c r="B94" s="48"/>
      <c r="C94" s="49" t="s">
        <v>164</v>
      </c>
      <c r="D94" s="50" t="s">
        <v>165</v>
      </c>
      <c r="E94" s="51">
        <v>53.23</v>
      </c>
      <c r="F94" s="51">
        <v>2890.68</v>
      </c>
      <c r="G94" s="58"/>
      <c r="H94" s="54">
        <f t="shared" si="21"/>
        <v>54.30546684200639</v>
      </c>
      <c r="I94" s="51">
        <v>0</v>
      </c>
      <c r="J94" s="51"/>
      <c r="K94" s="51">
        <v>2890.68</v>
      </c>
      <c r="L94" s="51">
        <f t="shared" si="22"/>
        <v>2890.68</v>
      </c>
      <c r="M94" s="54" t="e">
        <f t="shared" si="20"/>
        <v>#DIV/0!</v>
      </c>
      <c r="N94" s="51">
        <f t="shared" si="23"/>
        <v>2890.68</v>
      </c>
      <c r="O94" s="54" t="e">
        <f t="shared" si="14"/>
        <v>#DIV/0!</v>
      </c>
      <c r="P94" s="51">
        <f t="shared" si="24"/>
        <v>0</v>
      </c>
      <c r="Q94" s="69"/>
    </row>
    <row r="95" spans="1:17" s="32" customFormat="1" ht="15.75" customHeight="1" hidden="1" outlineLevel="3">
      <c r="A95" s="24" t="s">
        <v>166</v>
      </c>
      <c r="B95" s="48"/>
      <c r="C95" s="49" t="s">
        <v>23</v>
      </c>
      <c r="D95" s="50" t="s">
        <v>166</v>
      </c>
      <c r="E95" s="51">
        <v>53.23</v>
      </c>
      <c r="F95" s="51">
        <v>53.23</v>
      </c>
      <c r="G95" s="58"/>
      <c r="H95" s="54">
        <f t="shared" si="21"/>
        <v>1</v>
      </c>
      <c r="I95" s="51">
        <v>0</v>
      </c>
      <c r="J95" s="51"/>
      <c r="K95" s="51">
        <v>53.23</v>
      </c>
      <c r="L95" s="51">
        <f t="shared" si="22"/>
        <v>53.23</v>
      </c>
      <c r="M95" s="54" t="e">
        <f t="shared" si="20"/>
        <v>#DIV/0!</v>
      </c>
      <c r="N95" s="51">
        <f t="shared" si="23"/>
        <v>53.23</v>
      </c>
      <c r="O95" s="54" t="e">
        <f t="shared" si="14"/>
        <v>#DIV/0!</v>
      </c>
      <c r="P95" s="51">
        <f t="shared" si="24"/>
        <v>0</v>
      </c>
      <c r="Q95" s="69"/>
    </row>
    <row r="96" spans="1:17" s="32" customFormat="1" ht="90" customHeight="1" hidden="1" outlineLevel="4">
      <c r="A96" s="24" t="s">
        <v>167</v>
      </c>
      <c r="B96" s="48"/>
      <c r="C96" s="49" t="s">
        <v>168</v>
      </c>
      <c r="D96" s="50" t="s">
        <v>167</v>
      </c>
      <c r="E96" s="51">
        <v>53.23</v>
      </c>
      <c r="F96" s="51">
        <v>53.23</v>
      </c>
      <c r="G96" s="58"/>
      <c r="H96" s="54">
        <f t="shared" si="21"/>
        <v>1</v>
      </c>
      <c r="I96" s="51">
        <v>0</v>
      </c>
      <c r="J96" s="51"/>
      <c r="K96" s="51">
        <v>53.23</v>
      </c>
      <c r="L96" s="51">
        <f t="shared" si="22"/>
        <v>53.23</v>
      </c>
      <c r="M96" s="54" t="e">
        <f t="shared" si="20"/>
        <v>#DIV/0!</v>
      </c>
      <c r="N96" s="51">
        <f t="shared" si="23"/>
        <v>53.23</v>
      </c>
      <c r="O96" s="54" t="e">
        <f t="shared" si="14"/>
        <v>#DIV/0!</v>
      </c>
      <c r="P96" s="51">
        <f t="shared" si="24"/>
        <v>0</v>
      </c>
      <c r="Q96" s="69"/>
    </row>
    <row r="97" spans="1:17" s="32" customFormat="1" ht="90" customHeight="1" hidden="1" outlineLevel="5">
      <c r="A97" s="24" t="s">
        <v>169</v>
      </c>
      <c r="B97" s="48"/>
      <c r="C97" s="49" t="s">
        <v>170</v>
      </c>
      <c r="D97" s="50" t="s">
        <v>169</v>
      </c>
      <c r="E97" s="51">
        <v>481.81</v>
      </c>
      <c r="F97" s="51">
        <v>53.23</v>
      </c>
      <c r="G97" s="58"/>
      <c r="H97" s="54">
        <f t="shared" si="21"/>
        <v>0.11047923455303957</v>
      </c>
      <c r="I97" s="51">
        <v>0</v>
      </c>
      <c r="J97" s="51"/>
      <c r="K97" s="51">
        <v>53.23</v>
      </c>
      <c r="L97" s="51">
        <f t="shared" si="22"/>
        <v>53.23</v>
      </c>
      <c r="M97" s="54" t="e">
        <f t="shared" si="20"/>
        <v>#DIV/0!</v>
      </c>
      <c r="N97" s="51">
        <f t="shared" si="23"/>
        <v>53.23</v>
      </c>
      <c r="O97" s="54" t="e">
        <f t="shared" si="14"/>
        <v>#DIV/0!</v>
      </c>
      <c r="P97" s="51">
        <f t="shared" si="24"/>
        <v>0</v>
      </c>
      <c r="Q97" s="69"/>
    </row>
    <row r="98" spans="1:17" s="32" customFormat="1" ht="15.75" customHeight="1" hidden="1" outlineLevel="3">
      <c r="A98" s="24" t="s">
        <v>171</v>
      </c>
      <c r="B98" s="48"/>
      <c r="C98" s="49" t="s">
        <v>23</v>
      </c>
      <c r="D98" s="50" t="s">
        <v>171</v>
      </c>
      <c r="E98" s="51">
        <v>481.81</v>
      </c>
      <c r="F98" s="51">
        <v>481.81</v>
      </c>
      <c r="G98" s="58"/>
      <c r="H98" s="54">
        <f t="shared" si="21"/>
        <v>1</v>
      </c>
      <c r="I98" s="51">
        <v>59400</v>
      </c>
      <c r="J98" s="51"/>
      <c r="K98" s="51">
        <v>481.81</v>
      </c>
      <c r="L98" s="51">
        <f t="shared" si="22"/>
        <v>481.81</v>
      </c>
      <c r="M98" s="54" t="e">
        <f t="shared" si="20"/>
        <v>#DIV/0!</v>
      </c>
      <c r="N98" s="51">
        <f t="shared" si="23"/>
        <v>-58918.19</v>
      </c>
      <c r="O98" s="54">
        <f t="shared" si="14"/>
        <v>0.008111279461279462</v>
      </c>
      <c r="P98" s="51">
        <f t="shared" si="24"/>
        <v>0</v>
      </c>
      <c r="Q98" s="69"/>
    </row>
    <row r="99" spans="1:17" s="32" customFormat="1" ht="45" customHeight="1" hidden="1" outlineLevel="4">
      <c r="A99" s="24" t="s">
        <v>172</v>
      </c>
      <c r="B99" s="48"/>
      <c r="C99" s="49" t="s">
        <v>173</v>
      </c>
      <c r="D99" s="50" t="s">
        <v>172</v>
      </c>
      <c r="E99" s="51">
        <v>0</v>
      </c>
      <c r="F99" s="51">
        <v>481.81</v>
      </c>
      <c r="G99" s="58"/>
      <c r="H99" s="54" t="e">
        <f t="shared" si="21"/>
        <v>#DIV/0!</v>
      </c>
      <c r="I99" s="51">
        <v>59400</v>
      </c>
      <c r="J99" s="51"/>
      <c r="K99" s="51">
        <v>481.81</v>
      </c>
      <c r="L99" s="51">
        <f t="shared" si="22"/>
        <v>481.81</v>
      </c>
      <c r="M99" s="54" t="e">
        <f t="shared" si="20"/>
        <v>#DIV/0!</v>
      </c>
      <c r="N99" s="51">
        <f t="shared" si="23"/>
        <v>-58918.19</v>
      </c>
      <c r="O99" s="54">
        <f t="shared" si="14"/>
        <v>0.008111279461279462</v>
      </c>
      <c r="P99" s="51">
        <f t="shared" si="24"/>
        <v>0</v>
      </c>
      <c r="Q99" s="69"/>
    </row>
    <row r="100" spans="1:17" s="32" customFormat="1" ht="60" customHeight="1" hidden="1" outlineLevel="5">
      <c r="A100" s="24" t="s">
        <v>172</v>
      </c>
      <c r="B100" s="48"/>
      <c r="C100" s="49" t="s">
        <v>174</v>
      </c>
      <c r="D100" s="50" t="s">
        <v>172</v>
      </c>
      <c r="E100" s="51">
        <v>481.81</v>
      </c>
      <c r="F100" s="51">
        <v>0</v>
      </c>
      <c r="G100" s="58"/>
      <c r="H100" s="54">
        <f t="shared" si="21"/>
        <v>0</v>
      </c>
      <c r="I100" s="51">
        <v>59400</v>
      </c>
      <c r="J100" s="51"/>
      <c r="K100" s="51">
        <v>0</v>
      </c>
      <c r="L100" s="51">
        <f t="shared" si="22"/>
        <v>0</v>
      </c>
      <c r="M100" s="54" t="e">
        <f t="shared" si="20"/>
        <v>#DIV/0!</v>
      </c>
      <c r="N100" s="51">
        <f t="shared" si="23"/>
        <v>-59400</v>
      </c>
      <c r="O100" s="54">
        <f t="shared" si="14"/>
        <v>0</v>
      </c>
      <c r="P100" s="51">
        <f t="shared" si="24"/>
        <v>0</v>
      </c>
      <c r="Q100" s="69"/>
    </row>
    <row r="101" spans="1:17" s="32" customFormat="1" ht="60" customHeight="1" hidden="1" outlineLevel="5">
      <c r="A101" s="24" t="s">
        <v>175</v>
      </c>
      <c r="B101" s="48"/>
      <c r="C101" s="49" t="s">
        <v>176</v>
      </c>
      <c r="D101" s="50" t="s">
        <v>175</v>
      </c>
      <c r="E101" s="51">
        <v>39261.54</v>
      </c>
      <c r="F101" s="51">
        <v>481.81</v>
      </c>
      <c r="G101" s="58"/>
      <c r="H101" s="54">
        <f t="shared" si="21"/>
        <v>0.01227180594546215</v>
      </c>
      <c r="I101" s="51">
        <v>0</v>
      </c>
      <c r="J101" s="51"/>
      <c r="K101" s="51">
        <v>481.81</v>
      </c>
      <c r="L101" s="51">
        <f t="shared" si="22"/>
        <v>481.81</v>
      </c>
      <c r="M101" s="54" t="e">
        <f t="shared" si="20"/>
        <v>#DIV/0!</v>
      </c>
      <c r="N101" s="51">
        <f t="shared" si="23"/>
        <v>481.81</v>
      </c>
      <c r="O101" s="54" t="e">
        <f t="shared" si="14"/>
        <v>#DIV/0!</v>
      </c>
      <c r="P101" s="51">
        <f t="shared" si="24"/>
        <v>0</v>
      </c>
      <c r="Q101" s="69"/>
    </row>
    <row r="102" spans="1:17" s="32" customFormat="1" ht="15.75" customHeight="1" hidden="1" outlineLevel="3">
      <c r="A102" s="24" t="s">
        <v>177</v>
      </c>
      <c r="B102" s="48"/>
      <c r="C102" s="49" t="s">
        <v>23</v>
      </c>
      <c r="D102" s="50" t="s">
        <v>177</v>
      </c>
      <c r="E102" s="51">
        <v>39261.54</v>
      </c>
      <c r="F102" s="51">
        <v>39261.54</v>
      </c>
      <c r="G102" s="58"/>
      <c r="H102" s="54">
        <f t="shared" si="21"/>
        <v>1</v>
      </c>
      <c r="I102" s="51">
        <v>464900</v>
      </c>
      <c r="J102" s="51"/>
      <c r="K102" s="51">
        <v>39261.54</v>
      </c>
      <c r="L102" s="51">
        <f t="shared" si="22"/>
        <v>39261.54</v>
      </c>
      <c r="M102" s="54" t="e">
        <f t="shared" si="20"/>
        <v>#DIV/0!</v>
      </c>
      <c r="N102" s="51">
        <f t="shared" si="23"/>
        <v>-425638.46</v>
      </c>
      <c r="O102" s="54">
        <f t="shared" si="14"/>
        <v>0.0844515809851581</v>
      </c>
      <c r="P102" s="51">
        <f t="shared" si="24"/>
        <v>0</v>
      </c>
      <c r="Q102" s="69"/>
    </row>
    <row r="103" spans="1:17" s="32" customFormat="1" ht="60" customHeight="1" hidden="1" outlineLevel="4">
      <c r="A103" s="24" t="s">
        <v>178</v>
      </c>
      <c r="B103" s="48"/>
      <c r="C103" s="49" t="s">
        <v>179</v>
      </c>
      <c r="D103" s="50" t="s">
        <v>178</v>
      </c>
      <c r="E103" s="51">
        <v>0</v>
      </c>
      <c r="F103" s="51">
        <v>39261.54</v>
      </c>
      <c r="G103" s="58"/>
      <c r="H103" s="54" t="e">
        <f t="shared" si="21"/>
        <v>#DIV/0!</v>
      </c>
      <c r="I103" s="51">
        <v>464900</v>
      </c>
      <c r="J103" s="51"/>
      <c r="K103" s="51">
        <v>39261.54</v>
      </c>
      <c r="L103" s="51">
        <f t="shared" si="22"/>
        <v>39261.54</v>
      </c>
      <c r="M103" s="54" t="e">
        <f t="shared" si="20"/>
        <v>#DIV/0!</v>
      </c>
      <c r="N103" s="51">
        <f t="shared" si="23"/>
        <v>-425638.46</v>
      </c>
      <c r="O103" s="54">
        <f t="shared" si="14"/>
        <v>0.0844515809851581</v>
      </c>
      <c r="P103" s="51">
        <f t="shared" si="24"/>
        <v>0</v>
      </c>
      <c r="Q103" s="69"/>
    </row>
    <row r="104" spans="1:17" s="32" customFormat="1" ht="60" customHeight="1" hidden="1" outlineLevel="5">
      <c r="A104" s="24" t="s">
        <v>178</v>
      </c>
      <c r="B104" s="48"/>
      <c r="C104" s="49" t="s">
        <v>180</v>
      </c>
      <c r="D104" s="50" t="s">
        <v>178</v>
      </c>
      <c r="E104" s="51">
        <v>39261.54</v>
      </c>
      <c r="F104" s="51">
        <v>0</v>
      </c>
      <c r="G104" s="58"/>
      <c r="H104" s="54">
        <f t="shared" si="21"/>
        <v>0</v>
      </c>
      <c r="I104" s="51">
        <v>464900</v>
      </c>
      <c r="J104" s="51"/>
      <c r="K104" s="51">
        <v>0</v>
      </c>
      <c r="L104" s="51">
        <f t="shared" si="22"/>
        <v>0</v>
      </c>
      <c r="M104" s="54" t="e">
        <f t="shared" si="20"/>
        <v>#DIV/0!</v>
      </c>
      <c r="N104" s="51">
        <f t="shared" si="23"/>
        <v>-464900</v>
      </c>
      <c r="O104" s="54">
        <f t="shared" si="14"/>
        <v>0</v>
      </c>
      <c r="P104" s="51">
        <f t="shared" si="24"/>
        <v>0</v>
      </c>
      <c r="Q104" s="69"/>
    </row>
    <row r="105" spans="1:17" s="32" customFormat="1" ht="60" customHeight="1" hidden="1" outlineLevel="5">
      <c r="A105" s="24" t="s">
        <v>181</v>
      </c>
      <c r="B105" s="48"/>
      <c r="C105" s="49" t="s">
        <v>182</v>
      </c>
      <c r="D105" s="50" t="s">
        <v>181</v>
      </c>
      <c r="E105" s="51">
        <f>E106+E107</f>
        <v>10003098.77</v>
      </c>
      <c r="F105" s="51">
        <v>39261.54</v>
      </c>
      <c r="G105" s="58"/>
      <c r="H105" s="54">
        <f t="shared" si="21"/>
        <v>0.003924937752064204</v>
      </c>
      <c r="I105" s="51">
        <v>0</v>
      </c>
      <c r="J105" s="51"/>
      <c r="K105" s="51">
        <v>39261.54</v>
      </c>
      <c r="L105" s="51">
        <f t="shared" si="22"/>
        <v>39261.54</v>
      </c>
      <c r="M105" s="54" t="e">
        <f t="shared" si="20"/>
        <v>#DIV/0!</v>
      </c>
      <c r="N105" s="51">
        <f t="shared" si="23"/>
        <v>39261.54</v>
      </c>
      <c r="O105" s="54" t="e">
        <f t="shared" si="14"/>
        <v>#DIV/0!</v>
      </c>
      <c r="P105" s="51">
        <f t="shared" si="24"/>
        <v>0</v>
      </c>
      <c r="Q105" s="69"/>
    </row>
    <row r="106" spans="1:17" s="32" customFormat="1" ht="78.75" customHeight="1" outlineLevel="1" collapsed="1">
      <c r="A106" s="24" t="s">
        <v>183</v>
      </c>
      <c r="B106" s="48" t="s">
        <v>184</v>
      </c>
      <c r="C106" s="49" t="s">
        <v>185</v>
      </c>
      <c r="D106" s="50" t="s">
        <v>183</v>
      </c>
      <c r="E106" s="51">
        <f>E107+E108</f>
        <v>6949209.46</v>
      </c>
      <c r="F106" s="51">
        <f>F107+F108</f>
        <v>1668606.8</v>
      </c>
      <c r="G106" s="58">
        <f>G107+G108</f>
        <v>-5280602.66</v>
      </c>
      <c r="H106" s="54">
        <f t="shared" si="21"/>
        <v>0.24011462161337702</v>
      </c>
      <c r="I106" s="51">
        <f>I107+I108</f>
        <v>21746234.24</v>
      </c>
      <c r="J106" s="51">
        <f>J107+J108</f>
        <v>217229</v>
      </c>
      <c r="K106" s="51">
        <f>K107+K108</f>
        <v>20292280.88</v>
      </c>
      <c r="L106" s="51">
        <f t="shared" si="22"/>
        <v>20075051.88</v>
      </c>
      <c r="M106" s="54">
        <f t="shared" si="20"/>
        <v>-4.118134925152653</v>
      </c>
      <c r="N106" s="51">
        <f t="shared" si="23"/>
        <v>-1453953.3599999994</v>
      </c>
      <c r="O106" s="54">
        <f t="shared" si="14"/>
        <v>0.9331399936212589</v>
      </c>
      <c r="P106" s="51">
        <f t="shared" si="24"/>
        <v>18623674.08</v>
      </c>
      <c r="Q106" s="56"/>
    </row>
    <row r="107" spans="1:17" ht="62.25" customHeight="1" outlineLevel="2">
      <c r="A107" s="64" t="s">
        <v>186</v>
      </c>
      <c r="B107" s="65" t="s">
        <v>187</v>
      </c>
      <c r="C107" s="59" t="s">
        <v>188</v>
      </c>
      <c r="D107" s="60" t="s">
        <v>186</v>
      </c>
      <c r="E107" s="61">
        <v>3053889.31</v>
      </c>
      <c r="F107" s="61">
        <v>1640439.34</v>
      </c>
      <c r="G107" s="62">
        <f>F107-E107</f>
        <v>-1413449.97</v>
      </c>
      <c r="H107" s="63">
        <f t="shared" si="21"/>
        <v>0.5371639812315268</v>
      </c>
      <c r="I107" s="61">
        <v>3335156.7</v>
      </c>
      <c r="J107" s="61">
        <v>217229</v>
      </c>
      <c r="K107" s="61">
        <v>1791134.8</v>
      </c>
      <c r="L107" s="61">
        <f t="shared" si="22"/>
        <v>1573905.8</v>
      </c>
      <c r="M107" s="63">
        <f t="shared" si="20"/>
        <v>-2.3595859569051463</v>
      </c>
      <c r="N107" s="61">
        <f>K107-I107</f>
        <v>-1544021.9000000001</v>
      </c>
      <c r="O107" s="63">
        <f t="shared" si="14"/>
        <v>0.537046670100988</v>
      </c>
      <c r="P107" s="61">
        <f t="shared" si="24"/>
        <v>150695.45999999996</v>
      </c>
      <c r="Q107" s="74"/>
    </row>
    <row r="108" spans="1:17" ht="45.75" customHeight="1" outlineLevel="3">
      <c r="A108" s="64" t="s">
        <v>189</v>
      </c>
      <c r="B108" s="65" t="s">
        <v>190</v>
      </c>
      <c r="C108" s="59" t="s">
        <v>191</v>
      </c>
      <c r="D108" s="60" t="s">
        <v>192</v>
      </c>
      <c r="E108" s="62">
        <v>3895320.15</v>
      </c>
      <c r="F108" s="62">
        <v>28167.46</v>
      </c>
      <c r="G108" s="62">
        <f>F108-E108</f>
        <v>-3867152.69</v>
      </c>
      <c r="H108" s="63">
        <f t="shared" si="21"/>
        <v>0.007231102686129662</v>
      </c>
      <c r="I108" s="61">
        <v>18411077.54</v>
      </c>
      <c r="J108" s="61"/>
      <c r="K108" s="62">
        <v>18501146.08</v>
      </c>
      <c r="L108" s="61">
        <f t="shared" si="22"/>
        <v>18501146.08</v>
      </c>
      <c r="M108" s="63">
        <f t="shared" si="20"/>
        <v>-4.760887147696255</v>
      </c>
      <c r="N108" s="61">
        <f>K108-I108</f>
        <v>90068.5399999991</v>
      </c>
      <c r="O108" s="63">
        <f t="shared" si="14"/>
        <v>1.004892084116441</v>
      </c>
      <c r="P108" s="61">
        <f t="shared" si="24"/>
        <v>18472978.619999997</v>
      </c>
      <c r="Q108" s="66" t="s">
        <v>292</v>
      </c>
    </row>
    <row r="109" spans="1:17" s="32" customFormat="1" ht="75" customHeight="1" outlineLevel="1">
      <c r="A109" s="24" t="s">
        <v>193</v>
      </c>
      <c r="B109" s="48" t="s">
        <v>194</v>
      </c>
      <c r="C109" s="49" t="s">
        <v>195</v>
      </c>
      <c r="D109" s="50" t="s">
        <v>193</v>
      </c>
      <c r="E109" s="51">
        <f>E110+E111</f>
        <v>19228417.560000002</v>
      </c>
      <c r="F109" s="51">
        <f>F110+F111</f>
        <v>9949523.54</v>
      </c>
      <c r="G109" s="58">
        <f>G110+G111</f>
        <v>-9278894.02</v>
      </c>
      <c r="H109" s="54">
        <f t="shared" si="21"/>
        <v>0.5174385000197592</v>
      </c>
      <c r="I109" s="51">
        <f>I110+I111</f>
        <v>63050705.53</v>
      </c>
      <c r="J109" s="51">
        <f>J110+J111</f>
        <v>200000</v>
      </c>
      <c r="K109" s="51">
        <f>K110+K111</f>
        <v>33041348.970000003</v>
      </c>
      <c r="L109" s="51">
        <f t="shared" si="22"/>
        <v>32841348.970000003</v>
      </c>
      <c r="M109" s="54">
        <f t="shared" si="20"/>
        <v>-6.795066889879189</v>
      </c>
      <c r="N109" s="51">
        <f>N110+N111</f>
        <v>-30009356.56</v>
      </c>
      <c r="O109" s="54">
        <f t="shared" si="14"/>
        <v>0.5240440799552779</v>
      </c>
      <c r="P109" s="51">
        <f t="shared" si="24"/>
        <v>23091825.430000003</v>
      </c>
      <c r="Q109" s="56"/>
    </row>
    <row r="110" spans="1:17" ht="75.75" customHeight="1" outlineLevel="2">
      <c r="A110" s="64" t="s">
        <v>196</v>
      </c>
      <c r="B110" s="65" t="s">
        <v>197</v>
      </c>
      <c r="C110" s="59" t="s">
        <v>198</v>
      </c>
      <c r="D110" s="60" t="s">
        <v>196</v>
      </c>
      <c r="E110" s="61">
        <v>7574993.66</v>
      </c>
      <c r="F110" s="61">
        <f>33366+3225820</f>
        <v>3259186</v>
      </c>
      <c r="G110" s="62">
        <f aca="true" t="shared" si="25" ref="G110:G130">F110-E110</f>
        <v>-4315807.66</v>
      </c>
      <c r="H110" s="63">
        <f t="shared" si="21"/>
        <v>0.4302559376663557</v>
      </c>
      <c r="I110" s="61">
        <v>37116405.53</v>
      </c>
      <c r="J110" s="61"/>
      <c r="K110" s="61">
        <f>328636+18065436.94</f>
        <v>18394072.94</v>
      </c>
      <c r="L110" s="61">
        <f t="shared" si="22"/>
        <v>18394072.94</v>
      </c>
      <c r="M110" s="63">
        <f t="shared" si="20"/>
        <v>-8.600106504746321</v>
      </c>
      <c r="N110" s="61">
        <f>K110-I110</f>
        <v>-18722332.59</v>
      </c>
      <c r="O110" s="63">
        <f t="shared" si="14"/>
        <v>0.495577970909189</v>
      </c>
      <c r="P110" s="61">
        <f t="shared" si="24"/>
        <v>15134886.940000001</v>
      </c>
      <c r="Q110" s="73"/>
    </row>
    <row r="111" spans="1:17" ht="36" customHeight="1" outlineLevel="2">
      <c r="A111" s="64" t="s">
        <v>199</v>
      </c>
      <c r="B111" s="65" t="s">
        <v>200</v>
      </c>
      <c r="C111" s="59" t="s">
        <v>201</v>
      </c>
      <c r="D111" s="60" t="s">
        <v>199</v>
      </c>
      <c r="E111" s="61">
        <v>11653423.9</v>
      </c>
      <c r="F111" s="61">
        <v>6690337.54</v>
      </c>
      <c r="G111" s="62">
        <f t="shared" si="25"/>
        <v>-4963086.36</v>
      </c>
      <c r="H111" s="63">
        <f t="shared" si="21"/>
        <v>0.5741091714684815</v>
      </c>
      <c r="I111" s="61">
        <v>25934300</v>
      </c>
      <c r="J111" s="61">
        <v>200000</v>
      </c>
      <c r="K111" s="61">
        <f>6243276.03+8404000</f>
        <v>14647276.030000001</v>
      </c>
      <c r="L111" s="61">
        <f t="shared" si="22"/>
        <v>14447276.030000001</v>
      </c>
      <c r="M111" s="63">
        <f t="shared" si="20"/>
        <v>-5.225437987341409</v>
      </c>
      <c r="N111" s="61">
        <f>K111-I111</f>
        <v>-11287023.969999999</v>
      </c>
      <c r="O111" s="63">
        <f t="shared" si="14"/>
        <v>0.5647839359458324</v>
      </c>
      <c r="P111" s="61">
        <f t="shared" si="24"/>
        <v>7956938.490000001</v>
      </c>
      <c r="Q111" s="66"/>
    </row>
    <row r="112" spans="1:17" s="32" customFormat="1" ht="106.5" customHeight="1" outlineLevel="1">
      <c r="A112" s="24" t="s">
        <v>202</v>
      </c>
      <c r="B112" s="48" t="s">
        <v>203</v>
      </c>
      <c r="C112" s="49" t="s">
        <v>204</v>
      </c>
      <c r="D112" s="50" t="s">
        <v>202</v>
      </c>
      <c r="E112" s="51">
        <v>1668058.37</v>
      </c>
      <c r="F112" s="51">
        <v>1059971.81</v>
      </c>
      <c r="G112" s="58">
        <f t="shared" si="25"/>
        <v>-608086.56</v>
      </c>
      <c r="H112" s="54">
        <f t="shared" si="21"/>
        <v>0.6354524692082568</v>
      </c>
      <c r="I112" s="51">
        <v>3801835.05</v>
      </c>
      <c r="J112" s="51">
        <v>35150</v>
      </c>
      <c r="K112" s="51">
        <v>4407301.82</v>
      </c>
      <c r="L112" s="51">
        <f t="shared" si="22"/>
        <v>4372151.82</v>
      </c>
      <c r="M112" s="54">
        <f t="shared" si="20"/>
        <v>-6.252128068740739</v>
      </c>
      <c r="N112" s="51">
        <f>K112-I112</f>
        <v>605466.7700000005</v>
      </c>
      <c r="O112" s="54">
        <f t="shared" si="14"/>
        <v>1.1592564543272335</v>
      </c>
      <c r="P112" s="51">
        <f t="shared" si="24"/>
        <v>3347330.0100000002</v>
      </c>
      <c r="Q112" s="74" t="s">
        <v>291</v>
      </c>
    </row>
    <row r="113" spans="1:17" s="32" customFormat="1" ht="30.75" customHeight="1" outlineLevel="1">
      <c r="A113" s="24" t="s">
        <v>205</v>
      </c>
      <c r="B113" s="48" t="s">
        <v>206</v>
      </c>
      <c r="C113" s="49" t="s">
        <v>207</v>
      </c>
      <c r="D113" s="50" t="s">
        <v>205</v>
      </c>
      <c r="E113" s="51">
        <f>E114+E115+E116+E117+E118+E119+E120</f>
        <v>7747287.5</v>
      </c>
      <c r="F113" s="51">
        <f>F114+F115+F116+F117+F118+F119+F120</f>
        <v>5280806.619999999</v>
      </c>
      <c r="G113" s="58">
        <f>G114+G115+G116+G117+G118+G119</f>
        <v>-2484019.48</v>
      </c>
      <c r="H113" s="75">
        <f t="shared" si="21"/>
        <v>0.6816329741215876</v>
      </c>
      <c r="I113" s="51">
        <f>I114+I115+I116+I117+I118+I119+I120</f>
        <v>14004782.08</v>
      </c>
      <c r="J113" s="51">
        <f>J114+J115+J116+J117+J118+J119+J120</f>
        <v>918137.48</v>
      </c>
      <c r="K113" s="51">
        <f>K114+K115+K116+K117+K118+K119+K120</f>
        <v>12414077.629999999</v>
      </c>
      <c r="L113" s="51">
        <f>L114+L115+L116+L117+L118+L119+L120</f>
        <v>11495940.15</v>
      </c>
      <c r="M113" s="51" t="e">
        <f>M114+M115+M116+M117+M118+M119+M120</f>
        <v>#DIV/0!</v>
      </c>
      <c r="N113" s="51">
        <f>N114+N115+N116+N117+N118+N119+N120</f>
        <v>-1590704.45</v>
      </c>
      <c r="O113" s="54">
        <f t="shared" si="14"/>
        <v>0.8864170509106557</v>
      </c>
      <c r="P113" s="51">
        <f t="shared" si="24"/>
        <v>7133271.01</v>
      </c>
      <c r="Q113" s="56"/>
    </row>
    <row r="114" spans="1:17" s="4" customFormat="1" ht="72" customHeight="1" outlineLevel="1">
      <c r="A114" s="76"/>
      <c r="B114" s="77" t="s">
        <v>208</v>
      </c>
      <c r="C114" s="59" t="s">
        <v>209</v>
      </c>
      <c r="D114" s="60" t="s">
        <v>210</v>
      </c>
      <c r="E114" s="78">
        <v>0</v>
      </c>
      <c r="F114" s="78">
        <v>17538.6</v>
      </c>
      <c r="G114" s="62"/>
      <c r="H114" s="63"/>
      <c r="I114" s="79"/>
      <c r="J114" s="79"/>
      <c r="K114" s="79"/>
      <c r="L114" s="61">
        <f t="shared" si="22"/>
        <v>0</v>
      </c>
      <c r="M114" s="63"/>
      <c r="N114" s="61">
        <f aca="true" t="shared" si="26" ref="N114:N120">K114-I114</f>
        <v>0</v>
      </c>
      <c r="O114" s="63"/>
      <c r="P114" s="61">
        <f t="shared" si="24"/>
        <v>-17538.6</v>
      </c>
      <c r="Q114" s="80"/>
    </row>
    <row r="115" spans="1:17" ht="94.5" customHeight="1" outlineLevel="5">
      <c r="A115" s="64" t="s">
        <v>211</v>
      </c>
      <c r="B115" s="65" t="s">
        <v>212</v>
      </c>
      <c r="C115" s="59" t="s">
        <v>213</v>
      </c>
      <c r="D115" s="60" t="s">
        <v>211</v>
      </c>
      <c r="E115" s="61">
        <v>898909.4</v>
      </c>
      <c r="F115" s="61">
        <v>409910.6</v>
      </c>
      <c r="G115" s="62">
        <f t="shared" si="25"/>
        <v>-488998.80000000005</v>
      </c>
      <c r="H115" s="63">
        <f t="shared" si="21"/>
        <v>0.4560088035568434</v>
      </c>
      <c r="I115" s="61">
        <v>936864.56</v>
      </c>
      <c r="J115" s="61"/>
      <c r="K115" s="61">
        <v>605149.2</v>
      </c>
      <c r="L115" s="61">
        <f t="shared" si="22"/>
        <v>605149.2</v>
      </c>
      <c r="M115" s="63">
        <f>I115/G115</f>
        <v>-1.9158831473615068</v>
      </c>
      <c r="N115" s="61">
        <f t="shared" si="26"/>
        <v>-331715.3600000001</v>
      </c>
      <c r="O115" s="63">
        <f t="shared" si="14"/>
        <v>0.6459302932752626</v>
      </c>
      <c r="P115" s="61">
        <f t="shared" si="24"/>
        <v>195238.59999999998</v>
      </c>
      <c r="Q115" s="66" t="s">
        <v>259</v>
      </c>
    </row>
    <row r="116" spans="1:17" ht="61.5" customHeight="1" outlineLevel="5">
      <c r="A116" s="64" t="s">
        <v>214</v>
      </c>
      <c r="B116" s="65" t="s">
        <v>215</v>
      </c>
      <c r="C116" s="59" t="s">
        <v>216</v>
      </c>
      <c r="D116" s="60" t="s">
        <v>214</v>
      </c>
      <c r="E116" s="61">
        <v>91219.38</v>
      </c>
      <c r="F116" s="61">
        <v>27826.12</v>
      </c>
      <c r="G116" s="62">
        <f t="shared" si="25"/>
        <v>-63393.26000000001</v>
      </c>
      <c r="H116" s="63">
        <f t="shared" si="21"/>
        <v>0.3050461426069767</v>
      </c>
      <c r="I116" s="61">
        <v>33077</v>
      </c>
      <c r="J116" s="61">
        <v>4255</v>
      </c>
      <c r="K116" s="61"/>
      <c r="L116" s="61">
        <f t="shared" si="22"/>
        <v>-4255</v>
      </c>
      <c r="M116" s="63">
        <f>I116/G116</f>
        <v>-0.5217747123274619</v>
      </c>
      <c r="N116" s="61">
        <f t="shared" si="26"/>
        <v>-33077</v>
      </c>
      <c r="O116" s="63">
        <f t="shared" si="14"/>
        <v>0</v>
      </c>
      <c r="P116" s="61">
        <f t="shared" si="24"/>
        <v>-27826.12</v>
      </c>
      <c r="Q116" s="66" t="s">
        <v>293</v>
      </c>
    </row>
    <row r="117" spans="1:17" ht="79.5" customHeight="1" outlineLevel="5">
      <c r="A117" s="64" t="s">
        <v>217</v>
      </c>
      <c r="B117" s="65" t="s">
        <v>218</v>
      </c>
      <c r="C117" s="59" t="s">
        <v>219</v>
      </c>
      <c r="D117" s="60" t="s">
        <v>217</v>
      </c>
      <c r="E117" s="61">
        <v>0</v>
      </c>
      <c r="F117" s="61"/>
      <c r="G117" s="62">
        <f t="shared" si="25"/>
        <v>0</v>
      </c>
      <c r="H117" s="63"/>
      <c r="I117" s="61">
        <v>6000000</v>
      </c>
      <c r="J117" s="61"/>
      <c r="K117" s="61">
        <v>6000000</v>
      </c>
      <c r="L117" s="61">
        <f t="shared" si="22"/>
        <v>6000000</v>
      </c>
      <c r="M117" s="63"/>
      <c r="N117" s="61">
        <f t="shared" si="26"/>
        <v>0</v>
      </c>
      <c r="O117" s="63"/>
      <c r="P117" s="61">
        <f t="shared" si="24"/>
        <v>6000000</v>
      </c>
      <c r="Q117" s="66"/>
    </row>
    <row r="118" spans="1:17" ht="45" customHeight="1" hidden="1" outlineLevel="5">
      <c r="A118" s="64" t="s">
        <v>220</v>
      </c>
      <c r="B118" s="65"/>
      <c r="C118" s="59" t="s">
        <v>221</v>
      </c>
      <c r="D118" s="60" t="s">
        <v>220</v>
      </c>
      <c r="E118" s="61"/>
      <c r="F118" s="61"/>
      <c r="G118" s="62">
        <f t="shared" si="25"/>
        <v>0</v>
      </c>
      <c r="H118" s="63" t="e">
        <f t="shared" si="21"/>
        <v>#DIV/0!</v>
      </c>
      <c r="I118" s="61"/>
      <c r="J118" s="61"/>
      <c r="K118" s="61"/>
      <c r="L118" s="61">
        <f t="shared" si="22"/>
        <v>0</v>
      </c>
      <c r="M118" s="63" t="e">
        <f aca="true" t="shared" si="27" ref="M118:M127">I118/G118</f>
        <v>#DIV/0!</v>
      </c>
      <c r="N118" s="61">
        <f t="shared" si="26"/>
        <v>0</v>
      </c>
      <c r="O118" s="63" t="e">
        <f t="shared" si="14"/>
        <v>#DIV/0!</v>
      </c>
      <c r="P118" s="61">
        <f t="shared" si="24"/>
        <v>0</v>
      </c>
      <c r="Q118" s="81" t="s">
        <v>222</v>
      </c>
    </row>
    <row r="119" spans="1:17" ht="117" customHeight="1" outlineLevel="5">
      <c r="A119" s="64" t="s">
        <v>223</v>
      </c>
      <c r="B119" s="82" t="s">
        <v>224</v>
      </c>
      <c r="C119" s="83" t="s">
        <v>225</v>
      </c>
      <c r="D119" s="84" t="s">
        <v>223</v>
      </c>
      <c r="E119" s="85">
        <v>5165454.72</v>
      </c>
      <c r="F119" s="85">
        <v>3233827.3</v>
      </c>
      <c r="G119" s="86">
        <f t="shared" si="25"/>
        <v>-1931627.42</v>
      </c>
      <c r="H119" s="87">
        <f t="shared" si="21"/>
        <v>0.6260489105594174</v>
      </c>
      <c r="I119" s="85">
        <f>4745840.52+1000000</f>
        <v>5745840.52</v>
      </c>
      <c r="J119" s="85">
        <v>913882.48</v>
      </c>
      <c r="K119" s="85">
        <v>4519928.43</v>
      </c>
      <c r="L119" s="85">
        <f t="shared" si="22"/>
        <v>3606045.9499999997</v>
      </c>
      <c r="M119" s="87">
        <f t="shared" si="27"/>
        <v>-2.9746111804521806</v>
      </c>
      <c r="N119" s="85">
        <f t="shared" si="26"/>
        <v>-1225912.0899999999</v>
      </c>
      <c r="O119" s="87">
        <f t="shared" si="14"/>
        <v>0.7866435579384998</v>
      </c>
      <c r="P119" s="85">
        <f t="shared" si="24"/>
        <v>1286101.13</v>
      </c>
      <c r="Q119" s="88" t="s">
        <v>287</v>
      </c>
    </row>
    <row r="120" spans="1:17" ht="47.25" customHeight="1" outlineLevel="5" thickBot="1">
      <c r="A120" s="64"/>
      <c r="B120" s="65" t="s">
        <v>226</v>
      </c>
      <c r="C120" s="89" t="s">
        <v>227</v>
      </c>
      <c r="D120" s="90"/>
      <c r="E120" s="91">
        <v>1591704</v>
      </c>
      <c r="F120" s="91">
        <v>1591704</v>
      </c>
      <c r="G120" s="92">
        <f t="shared" si="25"/>
        <v>0</v>
      </c>
      <c r="H120" s="93">
        <f t="shared" si="21"/>
        <v>1</v>
      </c>
      <c r="I120" s="91">
        <v>1289000</v>
      </c>
      <c r="J120" s="91"/>
      <c r="K120" s="91">
        <v>1289000</v>
      </c>
      <c r="L120" s="85">
        <f t="shared" si="22"/>
        <v>1289000</v>
      </c>
      <c r="M120" s="93" t="e">
        <f t="shared" si="27"/>
        <v>#DIV/0!</v>
      </c>
      <c r="N120" s="85">
        <f t="shared" si="26"/>
        <v>0</v>
      </c>
      <c r="O120" s="93"/>
      <c r="P120" s="85">
        <f t="shared" si="24"/>
        <v>-302704</v>
      </c>
      <c r="Q120" s="94" t="s">
        <v>269</v>
      </c>
    </row>
    <row r="121" spans="1:17" s="16" customFormat="1" ht="31.5" customHeight="1" thickBot="1">
      <c r="A121" s="9" t="s">
        <v>228</v>
      </c>
      <c r="B121" s="10" t="s">
        <v>226</v>
      </c>
      <c r="C121" s="95" t="s">
        <v>229</v>
      </c>
      <c r="D121" s="96" t="s">
        <v>228</v>
      </c>
      <c r="E121" s="99">
        <f>E122+E126+E127+E128+E129+E130</f>
        <v>3087425772.07</v>
      </c>
      <c r="F121" s="99">
        <f>F122+F126+F127+F128+F129+F130</f>
        <v>1472247111.5499997</v>
      </c>
      <c r="G121" s="97">
        <f t="shared" si="25"/>
        <v>-1615178660.5200005</v>
      </c>
      <c r="H121" s="98">
        <f t="shared" si="21"/>
        <v>0.4768526339543103</v>
      </c>
      <c r="I121" s="99">
        <f>I122+I126+I127+I128+I129+I130</f>
        <v>2536675142.27</v>
      </c>
      <c r="J121" s="100" t="s">
        <v>230</v>
      </c>
      <c r="K121" s="99">
        <f>K122+K126+K127+K128+K129+K130</f>
        <v>1294826540.86</v>
      </c>
      <c r="L121" s="100" t="s">
        <v>230</v>
      </c>
      <c r="M121" s="98">
        <f t="shared" si="27"/>
        <v>-1.570522942306164</v>
      </c>
      <c r="N121" s="99">
        <f>N122+N126+N127+N130</f>
        <v>-1173294298.98</v>
      </c>
      <c r="O121" s="98">
        <f t="shared" si="14"/>
        <v>0.5104423973269575</v>
      </c>
      <c r="P121" s="99">
        <f t="shared" si="24"/>
        <v>-177420570.68999982</v>
      </c>
      <c r="Q121" s="101"/>
    </row>
    <row r="122" spans="1:17" ht="39.75" customHeight="1" outlineLevel="2">
      <c r="A122" s="64" t="s">
        <v>231</v>
      </c>
      <c r="B122" s="65" t="s">
        <v>232</v>
      </c>
      <c r="C122" s="102" t="s">
        <v>233</v>
      </c>
      <c r="D122" s="103" t="s">
        <v>231</v>
      </c>
      <c r="E122" s="104">
        <v>473098326.55</v>
      </c>
      <c r="F122" s="104">
        <v>257860452.77</v>
      </c>
      <c r="G122" s="105">
        <f t="shared" si="25"/>
        <v>-215237873.78</v>
      </c>
      <c r="H122" s="106">
        <f t="shared" si="21"/>
        <v>0.545046216185987</v>
      </c>
      <c r="I122" s="104">
        <v>508358928.62</v>
      </c>
      <c r="J122" s="107" t="s">
        <v>230</v>
      </c>
      <c r="K122" s="104">
        <v>300984643.62</v>
      </c>
      <c r="L122" s="107" t="s">
        <v>230</v>
      </c>
      <c r="M122" s="106">
        <f t="shared" si="27"/>
        <v>-2.3618470099718896</v>
      </c>
      <c r="N122" s="85">
        <f aca="true" t="shared" si="28" ref="N122:N129">K122-I122</f>
        <v>-207374285</v>
      </c>
      <c r="O122" s="106">
        <f t="shared" si="14"/>
        <v>0.5920711266684312</v>
      </c>
      <c r="P122" s="104">
        <f t="shared" si="24"/>
        <v>43124190.849999994</v>
      </c>
      <c r="Q122" s="108"/>
    </row>
    <row r="123" spans="1:17" ht="42.75" customHeight="1" hidden="1" outlineLevel="3">
      <c r="A123" s="64" t="s">
        <v>234</v>
      </c>
      <c r="B123" s="65"/>
      <c r="C123" s="59" t="s">
        <v>235</v>
      </c>
      <c r="D123" s="60" t="s">
        <v>234</v>
      </c>
      <c r="E123" s="61"/>
      <c r="F123" s="61"/>
      <c r="G123" s="105">
        <f t="shared" si="25"/>
        <v>0</v>
      </c>
      <c r="H123" s="106" t="e">
        <f t="shared" si="21"/>
        <v>#DIV/0!</v>
      </c>
      <c r="I123" s="61"/>
      <c r="J123" s="61"/>
      <c r="K123" s="61"/>
      <c r="L123" s="61"/>
      <c r="M123" s="106" t="e">
        <f t="shared" si="27"/>
        <v>#DIV/0!</v>
      </c>
      <c r="N123" s="85">
        <f t="shared" si="28"/>
        <v>0</v>
      </c>
      <c r="O123" s="106" t="e">
        <f t="shared" si="14"/>
        <v>#DIV/0!</v>
      </c>
      <c r="P123" s="104">
        <f t="shared" si="24"/>
        <v>0</v>
      </c>
      <c r="Q123" s="109"/>
    </row>
    <row r="124" spans="1:17" ht="71.25" customHeight="1" hidden="1" outlineLevel="4">
      <c r="A124" s="64" t="s">
        <v>236</v>
      </c>
      <c r="B124" s="65"/>
      <c r="C124" s="59" t="s">
        <v>237</v>
      </c>
      <c r="D124" s="60" t="s">
        <v>236</v>
      </c>
      <c r="E124" s="61"/>
      <c r="F124" s="61"/>
      <c r="G124" s="105">
        <f t="shared" si="25"/>
        <v>0</v>
      </c>
      <c r="H124" s="106" t="e">
        <f t="shared" si="21"/>
        <v>#DIV/0!</v>
      </c>
      <c r="I124" s="61"/>
      <c r="J124" s="61"/>
      <c r="K124" s="61"/>
      <c r="L124" s="61"/>
      <c r="M124" s="106" t="e">
        <f t="shared" si="27"/>
        <v>#DIV/0!</v>
      </c>
      <c r="N124" s="85">
        <f t="shared" si="28"/>
        <v>0</v>
      </c>
      <c r="O124" s="106" t="e">
        <f t="shared" si="14"/>
        <v>#DIV/0!</v>
      </c>
      <c r="P124" s="104">
        <f t="shared" si="24"/>
        <v>0</v>
      </c>
      <c r="Q124" s="109"/>
    </row>
    <row r="125" spans="1:17" ht="71.25" customHeight="1" hidden="1" outlineLevel="5">
      <c r="A125" s="64" t="s">
        <v>236</v>
      </c>
      <c r="B125" s="65"/>
      <c r="C125" s="59" t="s">
        <v>238</v>
      </c>
      <c r="D125" s="60" t="s">
        <v>236</v>
      </c>
      <c r="E125" s="61"/>
      <c r="F125" s="61"/>
      <c r="G125" s="105">
        <f t="shared" si="25"/>
        <v>0</v>
      </c>
      <c r="H125" s="106" t="e">
        <f t="shared" si="21"/>
        <v>#DIV/0!</v>
      </c>
      <c r="I125" s="61"/>
      <c r="J125" s="61"/>
      <c r="K125" s="61"/>
      <c r="L125" s="61"/>
      <c r="M125" s="106" t="e">
        <f t="shared" si="27"/>
        <v>#DIV/0!</v>
      </c>
      <c r="N125" s="85">
        <f t="shared" si="28"/>
        <v>0</v>
      </c>
      <c r="O125" s="106" t="e">
        <f t="shared" si="14"/>
        <v>#DIV/0!</v>
      </c>
      <c r="P125" s="104">
        <f t="shared" si="24"/>
        <v>0</v>
      </c>
      <c r="Q125" s="109"/>
    </row>
    <row r="126" spans="1:17" ht="21" customHeight="1" outlineLevel="2" collapsed="1">
      <c r="A126" s="64" t="s">
        <v>239</v>
      </c>
      <c r="B126" s="65" t="s">
        <v>240</v>
      </c>
      <c r="C126" s="59" t="s">
        <v>241</v>
      </c>
      <c r="D126" s="60" t="s">
        <v>242</v>
      </c>
      <c r="E126" s="110">
        <v>1985905932.37</v>
      </c>
      <c r="F126" s="110">
        <v>867176693.05</v>
      </c>
      <c r="G126" s="105">
        <f t="shared" si="25"/>
        <v>-1118729239.32</v>
      </c>
      <c r="H126" s="106">
        <f t="shared" si="21"/>
        <v>0.436665543375009</v>
      </c>
      <c r="I126" s="61">
        <v>1360692967.97</v>
      </c>
      <c r="J126" s="107" t="s">
        <v>230</v>
      </c>
      <c r="K126" s="110">
        <v>616464859.3</v>
      </c>
      <c r="L126" s="107" t="s">
        <v>230</v>
      </c>
      <c r="M126" s="106">
        <f t="shared" si="27"/>
        <v>-1.2162844414409635</v>
      </c>
      <c r="N126" s="85">
        <f t="shared" si="28"/>
        <v>-744228108.6700001</v>
      </c>
      <c r="O126" s="106">
        <f t="shared" si="14"/>
        <v>0.4530521387346447</v>
      </c>
      <c r="P126" s="104">
        <f t="shared" si="24"/>
        <v>-250711833.75</v>
      </c>
      <c r="Q126" s="109"/>
    </row>
    <row r="127" spans="1:17" ht="22.5" customHeight="1" outlineLevel="5">
      <c r="A127" s="64" t="s">
        <v>243</v>
      </c>
      <c r="B127" s="65" t="s">
        <v>244</v>
      </c>
      <c r="C127" s="59" t="s">
        <v>245</v>
      </c>
      <c r="D127" s="60" t="s">
        <v>246</v>
      </c>
      <c r="E127" s="61">
        <v>520683169.05</v>
      </c>
      <c r="F127" s="61">
        <v>303670042.49</v>
      </c>
      <c r="G127" s="105">
        <f t="shared" si="25"/>
        <v>-217013126.56</v>
      </c>
      <c r="H127" s="106">
        <f t="shared" si="21"/>
        <v>0.583214631354522</v>
      </c>
      <c r="I127" s="61">
        <v>564952483.03</v>
      </c>
      <c r="J127" s="107" t="s">
        <v>230</v>
      </c>
      <c r="K127" s="61">
        <v>343260577.72</v>
      </c>
      <c r="L127" s="107" t="s">
        <v>230</v>
      </c>
      <c r="M127" s="106">
        <f t="shared" si="27"/>
        <v>-2.603310186740254</v>
      </c>
      <c r="N127" s="85">
        <f t="shared" si="28"/>
        <v>-221691905.30999994</v>
      </c>
      <c r="O127" s="106">
        <f t="shared" si="14"/>
        <v>0.6075919445100877</v>
      </c>
      <c r="P127" s="104">
        <f t="shared" si="24"/>
        <v>39590535.23000002</v>
      </c>
      <c r="Q127" s="109"/>
    </row>
    <row r="128" spans="1:17" ht="22.5" customHeight="1" outlineLevel="5">
      <c r="A128" s="64"/>
      <c r="B128" s="65" t="s">
        <v>247</v>
      </c>
      <c r="C128" s="59" t="s">
        <v>248</v>
      </c>
      <c r="D128" s="60"/>
      <c r="E128" s="61">
        <v>110208359.34</v>
      </c>
      <c r="F128" s="61">
        <v>43228146.6</v>
      </c>
      <c r="G128" s="105">
        <f t="shared" si="25"/>
        <v>-66980212.74</v>
      </c>
      <c r="H128" s="106">
        <f t="shared" si="21"/>
        <v>0.39224017904702074</v>
      </c>
      <c r="I128" s="61">
        <v>119974047.4</v>
      </c>
      <c r="J128" s="107" t="s">
        <v>230</v>
      </c>
      <c r="K128" s="61">
        <v>51419744.97</v>
      </c>
      <c r="L128" s="107" t="s">
        <v>230</v>
      </c>
      <c r="M128" s="106"/>
      <c r="N128" s="85">
        <f t="shared" si="28"/>
        <v>-68554302.43</v>
      </c>
      <c r="O128" s="106"/>
      <c r="P128" s="104">
        <f t="shared" si="24"/>
        <v>8191598.369999997</v>
      </c>
      <c r="Q128" s="109"/>
    </row>
    <row r="129" spans="1:17" ht="54" customHeight="1" outlineLevel="5">
      <c r="A129" s="64"/>
      <c r="B129" s="65" t="s">
        <v>249</v>
      </c>
      <c r="C129" s="59" t="s">
        <v>250</v>
      </c>
      <c r="D129" s="60"/>
      <c r="E129" s="85">
        <v>1669917.56</v>
      </c>
      <c r="F129" s="85">
        <v>605111.56</v>
      </c>
      <c r="G129" s="105"/>
      <c r="H129" s="106"/>
      <c r="I129" s="61">
        <v>936811.59</v>
      </c>
      <c r="J129" s="107" t="s">
        <v>230</v>
      </c>
      <c r="K129" s="85">
        <v>936811.59</v>
      </c>
      <c r="L129" s="107" t="s">
        <v>230</v>
      </c>
      <c r="M129" s="106"/>
      <c r="N129" s="85">
        <f t="shared" si="28"/>
        <v>0</v>
      </c>
      <c r="O129" s="106"/>
      <c r="P129" s="104">
        <f t="shared" si="24"/>
        <v>331700.0299999999</v>
      </c>
      <c r="Q129" s="109"/>
    </row>
    <row r="130" spans="1:17" ht="40.5" customHeight="1" outlineLevel="1">
      <c r="A130" s="64" t="s">
        <v>251</v>
      </c>
      <c r="B130" s="65" t="s">
        <v>252</v>
      </c>
      <c r="C130" s="59" t="s">
        <v>253</v>
      </c>
      <c r="D130" s="60" t="s">
        <v>251</v>
      </c>
      <c r="E130" s="85">
        <v>-4139932.8</v>
      </c>
      <c r="F130" s="85">
        <v>-293334.92</v>
      </c>
      <c r="G130" s="105">
        <f t="shared" si="25"/>
        <v>3846597.88</v>
      </c>
      <c r="H130" s="106">
        <f t="shared" si="21"/>
        <v>0.07085499552070024</v>
      </c>
      <c r="I130" s="61">
        <v>-18240096.34</v>
      </c>
      <c r="J130" s="107" t="s">
        <v>230</v>
      </c>
      <c r="K130" s="85">
        <v>-18240096.34</v>
      </c>
      <c r="L130" s="107" t="s">
        <v>230</v>
      </c>
      <c r="M130" s="63"/>
      <c r="N130" s="85">
        <f>K130-I130</f>
        <v>0</v>
      </c>
      <c r="O130" s="63"/>
      <c r="P130" s="104">
        <f t="shared" si="24"/>
        <v>-17946761.419999998</v>
      </c>
      <c r="Q130" s="109"/>
    </row>
    <row r="131" spans="1:17" s="118" customFormat="1" ht="23.25" customHeight="1">
      <c r="A131" s="506" t="s">
        <v>254</v>
      </c>
      <c r="B131" s="507"/>
      <c r="C131" s="508"/>
      <c r="D131" s="509"/>
      <c r="E131" s="115">
        <f>E121+E11</f>
        <v>3513539007.31</v>
      </c>
      <c r="F131" s="115">
        <f>F121+F11</f>
        <v>1692045781.2299998</v>
      </c>
      <c r="G131" s="111">
        <f>F131-E131</f>
        <v>-1821493226.0800002</v>
      </c>
      <c r="H131" s="112">
        <f>F131/E131</f>
        <v>0.481578766511389</v>
      </c>
      <c r="I131" s="113">
        <f>I121+I11</f>
        <v>2975784901.99</v>
      </c>
      <c r="J131" s="114" t="s">
        <v>230</v>
      </c>
      <c r="K131" s="115">
        <f>K121+K11</f>
        <v>1559162827.0099998</v>
      </c>
      <c r="L131" s="114" t="s">
        <v>230</v>
      </c>
      <c r="M131" s="112">
        <f>I131/G131</f>
        <v>-1.633706268781536</v>
      </c>
      <c r="N131" s="115">
        <f>N121+N11</f>
        <v>-1348067772.5500002</v>
      </c>
      <c r="O131" s="112">
        <f>K131/I131</f>
        <v>0.5239501100927487</v>
      </c>
      <c r="P131" s="116">
        <f>K131-F131</f>
        <v>-132882954.22000003</v>
      </c>
      <c r="Q131" s="117"/>
    </row>
    <row r="132" spans="1:17" s="129" customFormat="1" ht="24.75" customHeight="1">
      <c r="A132" s="119"/>
      <c r="B132" s="120">
        <v>46</v>
      </c>
      <c r="C132" s="121" t="s">
        <v>255</v>
      </c>
      <c r="D132" s="122"/>
      <c r="E132" s="123">
        <v>39027</v>
      </c>
      <c r="F132" s="123">
        <v>2604.96</v>
      </c>
      <c r="G132" s="124"/>
      <c r="H132" s="125"/>
      <c r="I132" s="126"/>
      <c r="J132" s="126"/>
      <c r="K132" s="123">
        <v>-39027</v>
      </c>
      <c r="L132" s="126"/>
      <c r="M132" s="125"/>
      <c r="N132" s="123"/>
      <c r="O132" s="125"/>
      <c r="P132" s="127"/>
      <c r="Q132" s="128"/>
    </row>
    <row r="133" spans="1:17" s="118" customFormat="1" ht="26.25" customHeight="1" thickBot="1">
      <c r="A133" s="130"/>
      <c r="B133" s="131"/>
      <c r="C133" s="131"/>
      <c r="D133" s="131"/>
      <c r="E133" s="136">
        <f>E131++E132</f>
        <v>3513578034.31</v>
      </c>
      <c r="F133" s="136">
        <f>F131++F132</f>
        <v>1692048386.1899998</v>
      </c>
      <c r="G133" s="132">
        <f>F133-E133</f>
        <v>-1821529648.1200001</v>
      </c>
      <c r="H133" s="133">
        <f>F133/E133</f>
        <v>0.4815741587826399</v>
      </c>
      <c r="I133" s="134">
        <f>I131++I132</f>
        <v>2975784901.99</v>
      </c>
      <c r="J133" s="135" t="s">
        <v>230</v>
      </c>
      <c r="K133" s="136">
        <f>K131++K132</f>
        <v>1559123800.0099998</v>
      </c>
      <c r="L133" s="137" t="s">
        <v>230</v>
      </c>
      <c r="M133" s="133">
        <f>I133/G133</f>
        <v>-1.6336736023272012</v>
      </c>
      <c r="N133" s="136">
        <f>N131++N132</f>
        <v>-1348067772.5500002</v>
      </c>
      <c r="O133" s="133">
        <f>K133/I133</f>
        <v>0.5239369952335484</v>
      </c>
      <c r="P133" s="132">
        <f>K133-F133</f>
        <v>-132924586.18000007</v>
      </c>
      <c r="Q133" s="138"/>
    </row>
    <row r="134" ht="15">
      <c r="E134" s="139"/>
    </row>
    <row r="137" ht="15">
      <c r="E137" s="139"/>
    </row>
  </sheetData>
  <sheetProtection/>
  <mergeCells count="26">
    <mergeCell ref="P7:P9"/>
    <mergeCell ref="M8:M9"/>
    <mergeCell ref="N8:N9"/>
    <mergeCell ref="O8:O9"/>
    <mergeCell ref="A1:D1"/>
    <mergeCell ref="A2:D2"/>
    <mergeCell ref="A3:E3"/>
    <mergeCell ref="A4:Q4"/>
    <mergeCell ref="A5:D5"/>
    <mergeCell ref="A6:Q6"/>
    <mergeCell ref="A131:D131"/>
    <mergeCell ref="Q7:Q9"/>
    <mergeCell ref="A8:A9"/>
    <mergeCell ref="E8:E9"/>
    <mergeCell ref="F8:F9"/>
    <mergeCell ref="G8:G9"/>
    <mergeCell ref="H8:H9"/>
    <mergeCell ref="I8:I9"/>
    <mergeCell ref="J8:J9"/>
    <mergeCell ref="K8:K9"/>
    <mergeCell ref="L8:L9"/>
    <mergeCell ref="B7:B9"/>
    <mergeCell ref="C7:C9"/>
    <mergeCell ref="D7:D9"/>
    <mergeCell ref="E7:H7"/>
    <mergeCell ref="I7:O7"/>
  </mergeCells>
  <printOptions horizontalCentered="1"/>
  <pageMargins left="0" right="0" top="0.1968503937007874" bottom="0" header="0.3937007874015748" footer="0.3937007874015748"/>
  <pageSetup blackAndWhite="1" errors="blank" fitToHeight="0" fitToWidth="1" horizontalDpi="600" verticalDpi="600" orientation="landscape" paperSize="9" scale="56" r:id="rId1"/>
  <rowBreaks count="2" manualBreakCount="2">
    <brk id="109" max="16" man="1"/>
    <brk id="113" max="16" man="1"/>
  </rowBreaks>
</worksheet>
</file>

<file path=xl/worksheets/sheet7.xml><?xml version="1.0" encoding="utf-8"?>
<worksheet xmlns="http://schemas.openxmlformats.org/spreadsheetml/2006/main" xmlns:r="http://schemas.openxmlformats.org/officeDocument/2006/relationships">
  <sheetPr>
    <tabColor theme="0" tint="-0.04997999966144562"/>
    <pageSetUpPr fitToPage="1"/>
  </sheetPr>
  <dimension ref="A1:Q137"/>
  <sheetViews>
    <sheetView showGridLines="0" showZeros="0" view="pageBreakPreview" zoomScale="85" zoomScaleNormal="75" zoomScaleSheetLayoutView="85" zoomScalePageLayoutView="0" workbookViewId="0" topLeftCell="B1">
      <pane ySplit="9" topLeftCell="A56" activePane="bottomLeft" state="frozen"/>
      <selection pane="topLeft" activeCell="A1" sqref="A1"/>
      <selection pane="bottomLeft" activeCell="F80" sqref="F80"/>
    </sheetView>
  </sheetViews>
  <sheetFormatPr defaultColWidth="9.140625" defaultRowHeight="15" outlineLevelRow="5"/>
  <cols>
    <col min="1" max="1" width="9.140625" style="163" hidden="1" customWidth="1"/>
    <col min="2" max="2" width="5.28125" style="163" customWidth="1"/>
    <col min="3" max="3" width="79.8515625" style="164" customWidth="1"/>
    <col min="4" max="4" width="18.00390625" style="163" hidden="1" customWidth="1"/>
    <col min="5" max="5" width="21.421875" style="163" hidden="1" customWidth="1"/>
    <col min="6" max="6" width="35.7109375" style="163" customWidth="1"/>
    <col min="7" max="7" width="20.57421875" style="163" hidden="1" customWidth="1"/>
    <col min="8" max="8" width="10.28125" style="163" hidden="1" customWidth="1"/>
    <col min="9" max="9" width="20.28125" style="163" hidden="1" customWidth="1"/>
    <col min="10" max="10" width="17.57421875" style="163" hidden="1" customWidth="1"/>
    <col min="11" max="11" width="34.00390625" style="163" customWidth="1"/>
    <col min="12" max="12" width="19.140625" style="163" hidden="1" customWidth="1"/>
    <col min="13" max="13" width="14.28125" style="163" hidden="1" customWidth="1"/>
    <col min="14" max="14" width="21.140625" style="163" hidden="1" customWidth="1"/>
    <col min="15" max="15" width="13.8515625" style="163" hidden="1" customWidth="1"/>
    <col min="16" max="16" width="32.421875" style="163" customWidth="1"/>
    <col min="17" max="17" width="50.28125" style="164" hidden="1" customWidth="1"/>
    <col min="18" max="16384" width="9.140625" style="163" customWidth="1"/>
  </cols>
  <sheetData>
    <row r="1" spans="1:4" ht="13.5" customHeight="1">
      <c r="A1" s="543"/>
      <c r="B1" s="543"/>
      <c r="C1" s="544"/>
      <c r="D1" s="544"/>
    </row>
    <row r="2" spans="1:4" ht="45" customHeight="1" hidden="1">
      <c r="A2" s="543"/>
      <c r="B2" s="543"/>
      <c r="C2" s="544"/>
      <c r="D2" s="544"/>
    </row>
    <row r="3" spans="1:5" ht="18" customHeight="1">
      <c r="A3" s="545" t="s">
        <v>275</v>
      </c>
      <c r="B3" s="545"/>
      <c r="C3" s="545"/>
      <c r="D3" s="545"/>
      <c r="E3" s="545"/>
    </row>
    <row r="4" spans="1:17" ht="42" customHeight="1">
      <c r="A4" s="546" t="s">
        <v>294</v>
      </c>
      <c r="B4" s="546"/>
      <c r="C4" s="546"/>
      <c r="D4" s="546"/>
      <c r="E4" s="546"/>
      <c r="F4" s="546"/>
      <c r="G4" s="546"/>
      <c r="H4" s="546"/>
      <c r="I4" s="546"/>
      <c r="J4" s="546"/>
      <c r="K4" s="546"/>
      <c r="L4" s="546"/>
      <c r="M4" s="546"/>
      <c r="N4" s="546"/>
      <c r="O4" s="546"/>
      <c r="P4" s="546"/>
      <c r="Q4" s="546"/>
    </row>
    <row r="5" spans="1:4" ht="0.75" customHeight="1">
      <c r="A5" s="547"/>
      <c r="B5" s="547"/>
      <c r="C5" s="548"/>
      <c r="D5" s="548"/>
    </row>
    <row r="6" spans="1:17" ht="36" customHeight="1" thickBot="1">
      <c r="A6" s="542" t="s">
        <v>285</v>
      </c>
      <c r="B6" s="542"/>
      <c r="C6" s="542"/>
      <c r="D6" s="542"/>
      <c r="E6" s="542"/>
      <c r="F6" s="542"/>
      <c r="G6" s="542"/>
      <c r="H6" s="542"/>
      <c r="I6" s="542"/>
      <c r="J6" s="542"/>
      <c r="K6" s="542"/>
      <c r="L6" s="542"/>
      <c r="M6" s="542"/>
      <c r="N6" s="542"/>
      <c r="O6" s="542"/>
      <c r="P6" s="542"/>
      <c r="Q6" s="542"/>
    </row>
    <row r="7" spans="1:17" s="166" customFormat="1" ht="24" customHeight="1">
      <c r="A7" s="165"/>
      <c r="B7" s="557"/>
      <c r="C7" s="559" t="s">
        <v>2</v>
      </c>
      <c r="D7" s="561" t="s">
        <v>3</v>
      </c>
      <c r="E7" s="564">
        <v>44743</v>
      </c>
      <c r="F7" s="565"/>
      <c r="G7" s="565"/>
      <c r="H7" s="566"/>
      <c r="I7" s="564">
        <v>45108</v>
      </c>
      <c r="J7" s="565"/>
      <c r="K7" s="565"/>
      <c r="L7" s="565"/>
      <c r="M7" s="565"/>
      <c r="N7" s="565"/>
      <c r="O7" s="566"/>
      <c r="P7" s="573" t="s">
        <v>284</v>
      </c>
      <c r="Q7" s="549" t="s">
        <v>4</v>
      </c>
    </row>
    <row r="8" spans="1:17" s="166" customFormat="1" ht="17.25" customHeight="1">
      <c r="A8" s="551" t="s">
        <v>5</v>
      </c>
      <c r="B8" s="558"/>
      <c r="C8" s="560"/>
      <c r="D8" s="562"/>
      <c r="E8" s="567"/>
      <c r="F8" s="568"/>
      <c r="G8" s="568"/>
      <c r="H8" s="569"/>
      <c r="I8" s="567"/>
      <c r="J8" s="568"/>
      <c r="K8" s="568"/>
      <c r="L8" s="568"/>
      <c r="M8" s="568"/>
      <c r="N8" s="568"/>
      <c r="O8" s="569"/>
      <c r="P8" s="574"/>
      <c r="Q8" s="550"/>
    </row>
    <row r="9" spans="1:17" s="166" customFormat="1" ht="22.5" customHeight="1">
      <c r="A9" s="552"/>
      <c r="B9" s="558"/>
      <c r="C9" s="560"/>
      <c r="D9" s="563"/>
      <c r="E9" s="570"/>
      <c r="F9" s="571"/>
      <c r="G9" s="571"/>
      <c r="H9" s="572"/>
      <c r="I9" s="570"/>
      <c r="J9" s="571"/>
      <c r="K9" s="571"/>
      <c r="L9" s="571"/>
      <c r="M9" s="571"/>
      <c r="N9" s="571"/>
      <c r="O9" s="572"/>
      <c r="P9" s="574"/>
      <c r="Q9" s="550"/>
    </row>
    <row r="10" spans="1:17" ht="21" customHeight="1" thickBot="1">
      <c r="A10" s="209"/>
      <c r="B10" s="265"/>
      <c r="C10" s="266">
        <v>1</v>
      </c>
      <c r="D10" s="267">
        <v>2</v>
      </c>
      <c r="E10" s="267">
        <v>9</v>
      </c>
      <c r="F10" s="267">
        <v>2</v>
      </c>
      <c r="G10" s="267">
        <v>5</v>
      </c>
      <c r="H10" s="267">
        <v>6</v>
      </c>
      <c r="I10" s="267">
        <v>7</v>
      </c>
      <c r="J10" s="267">
        <v>8</v>
      </c>
      <c r="K10" s="267">
        <v>3</v>
      </c>
      <c r="L10" s="267">
        <v>10</v>
      </c>
      <c r="M10" s="267">
        <v>11</v>
      </c>
      <c r="N10" s="267">
        <v>12</v>
      </c>
      <c r="O10" s="267">
        <v>13</v>
      </c>
      <c r="P10" s="268">
        <v>4</v>
      </c>
      <c r="Q10" s="210">
        <v>15</v>
      </c>
    </row>
    <row r="11" spans="1:17" s="160" customFormat="1" ht="42.75" customHeight="1" thickBot="1">
      <c r="A11" s="159" t="s">
        <v>14</v>
      </c>
      <c r="B11" s="299" t="s">
        <v>15</v>
      </c>
      <c r="C11" s="300" t="s">
        <v>277</v>
      </c>
      <c r="D11" s="161" t="s">
        <v>14</v>
      </c>
      <c r="E11" s="162">
        <f>E12+E80</f>
        <v>426113235.23999995</v>
      </c>
      <c r="F11" s="245">
        <f>F12+F80</f>
        <v>175</v>
      </c>
      <c r="G11" s="245">
        <f>F11-E11</f>
        <v>-426113060.23999995</v>
      </c>
      <c r="H11" s="246">
        <f>F11/E11</f>
        <v>4.1068895666062726E-07</v>
      </c>
      <c r="I11" s="245">
        <f>I12+I80</f>
        <v>381994751.74</v>
      </c>
      <c r="J11" s="245">
        <f>J12+J80</f>
        <v>16636685.38</v>
      </c>
      <c r="K11" s="245">
        <f>K12+K80</f>
        <v>187.7</v>
      </c>
      <c r="L11" s="245">
        <f>K11-J11</f>
        <v>-16636497.680000002</v>
      </c>
      <c r="M11" s="246">
        <f>K11/J11</f>
        <v>1.1282295464073985E-05</v>
      </c>
      <c r="N11" s="245">
        <f>K11-I11</f>
        <v>-381994564.04</v>
      </c>
      <c r="O11" s="246">
        <f>K11/I11</f>
        <v>4.913680074006767E-07</v>
      </c>
      <c r="P11" s="247">
        <f>K11-F11</f>
        <v>12.699999999999989</v>
      </c>
      <c r="Q11" s="239"/>
    </row>
    <row r="12" spans="1:17" s="238" customFormat="1" ht="45" customHeight="1" thickBot="1">
      <c r="A12" s="237"/>
      <c r="B12" s="301" t="s">
        <v>17</v>
      </c>
      <c r="C12" s="302" t="s">
        <v>278</v>
      </c>
      <c r="D12" s="243"/>
      <c r="E12" s="244">
        <f>E13+E39+E40+E62+E66+E76</f>
        <v>352618682.34999996</v>
      </c>
      <c r="F12" s="273">
        <v>143.9</v>
      </c>
      <c r="G12" s="273">
        <f>F12-E12</f>
        <v>-352618538.45</v>
      </c>
      <c r="H12" s="274">
        <f>F12/E12</f>
        <v>4.0808955169643754E-07</v>
      </c>
      <c r="I12" s="273">
        <f>I13+I39+I40+I62+I66+I76</f>
        <v>320644567.63</v>
      </c>
      <c r="J12" s="273">
        <f>J13+J39+J40+J62+J66+J76</f>
        <v>14406368.9</v>
      </c>
      <c r="K12" s="273">
        <v>133.5</v>
      </c>
      <c r="L12" s="273">
        <f>K12-J12</f>
        <v>-14406235.4</v>
      </c>
      <c r="M12" s="274">
        <f>I12/G12</f>
        <v>-0.9093241921977571</v>
      </c>
      <c r="N12" s="273">
        <f>K12-I12</f>
        <v>-320644434.13</v>
      </c>
      <c r="O12" s="274">
        <f>K12/I12</f>
        <v>4.1634885938267036E-07</v>
      </c>
      <c r="P12" s="275">
        <f>K12-F12</f>
        <v>-10.400000000000006</v>
      </c>
      <c r="Q12" s="240"/>
    </row>
    <row r="13" spans="1:17" ht="42.75" customHeight="1" outlineLevel="2">
      <c r="A13" s="172" t="s">
        <v>19</v>
      </c>
      <c r="B13" s="319" t="s">
        <v>20</v>
      </c>
      <c r="C13" s="303" t="s">
        <v>21</v>
      </c>
      <c r="D13" s="241" t="s">
        <v>19</v>
      </c>
      <c r="E13" s="242">
        <v>190630093.23</v>
      </c>
      <c r="F13" s="276">
        <v>78.8</v>
      </c>
      <c r="G13" s="277">
        <f>F13-E13</f>
        <v>-190630014.42999998</v>
      </c>
      <c r="H13" s="278">
        <f>F13/E13</f>
        <v>4.1336600462617314E-07</v>
      </c>
      <c r="I13" s="279">
        <v>179717500</v>
      </c>
      <c r="J13" s="280">
        <v>8290000</v>
      </c>
      <c r="K13" s="276">
        <v>79.4</v>
      </c>
      <c r="L13" s="279">
        <f>K13-J13</f>
        <v>-8289920.6</v>
      </c>
      <c r="M13" s="278">
        <f>K13/J13</f>
        <v>9.577804583835947E-06</v>
      </c>
      <c r="N13" s="279">
        <f>K13-I13</f>
        <v>-179717420.6</v>
      </c>
      <c r="O13" s="278">
        <f aca="true" t="shared" si="0" ref="O13:O78">K13/I13</f>
        <v>4.4180449872716906E-07</v>
      </c>
      <c r="P13" s="320">
        <f>K13-F13</f>
        <v>0.6000000000000085</v>
      </c>
      <c r="Q13" s="309" t="s">
        <v>266</v>
      </c>
    </row>
    <row r="14" spans="1:17" ht="6.75" customHeight="1" hidden="1" outlineLevel="2">
      <c r="A14" s="172"/>
      <c r="B14" s="321"/>
      <c r="C14" s="304"/>
      <c r="D14" s="212"/>
      <c r="E14" s="193"/>
      <c r="F14" s="281"/>
      <c r="G14" s="282"/>
      <c r="H14" s="283"/>
      <c r="I14" s="284"/>
      <c r="J14" s="285"/>
      <c r="K14" s="285"/>
      <c r="L14" s="284"/>
      <c r="M14" s="283"/>
      <c r="N14" s="284"/>
      <c r="O14" s="283"/>
      <c r="P14" s="322"/>
      <c r="Q14" s="310"/>
    </row>
    <row r="15" spans="1:17" ht="45" customHeight="1" hidden="1" outlineLevel="3">
      <c r="A15" s="172" t="s">
        <v>22</v>
      </c>
      <c r="B15" s="321"/>
      <c r="C15" s="305" t="s">
        <v>23</v>
      </c>
      <c r="D15" s="213" t="s">
        <v>22</v>
      </c>
      <c r="E15" s="169"/>
      <c r="F15" s="286"/>
      <c r="G15" s="287">
        <f aca="true" t="shared" si="1" ref="G15:G40">F15-E15</f>
        <v>0</v>
      </c>
      <c r="H15" s="288" t="e">
        <f aca="true" t="shared" si="2" ref="H15:H40">F15/E15</f>
        <v>#DIV/0!</v>
      </c>
      <c r="I15" s="286">
        <v>148555700</v>
      </c>
      <c r="J15" s="286"/>
      <c r="K15" s="286"/>
      <c r="L15" s="286"/>
      <c r="M15" s="289" t="e">
        <f aca="true" t="shared" si="3" ref="M15:M75">I15/G15</f>
        <v>#DIV/0!</v>
      </c>
      <c r="N15" s="286"/>
      <c r="O15" s="289">
        <f t="shared" si="0"/>
        <v>0</v>
      </c>
      <c r="P15" s="323">
        <f aca="true" t="shared" si="4" ref="P15:P40">K15-F15</f>
        <v>0</v>
      </c>
      <c r="Q15" s="311"/>
    </row>
    <row r="16" spans="1:17" ht="45" customHeight="1" hidden="1" outlineLevel="4">
      <c r="A16" s="172" t="s">
        <v>24</v>
      </c>
      <c r="B16" s="324"/>
      <c r="C16" s="306" t="s">
        <v>25</v>
      </c>
      <c r="D16" s="214" t="s">
        <v>24</v>
      </c>
      <c r="E16" s="169"/>
      <c r="F16" s="290"/>
      <c r="G16" s="291">
        <f t="shared" si="1"/>
        <v>0</v>
      </c>
      <c r="H16" s="292" t="e">
        <f t="shared" si="2"/>
        <v>#DIV/0!</v>
      </c>
      <c r="I16" s="290">
        <v>148555700</v>
      </c>
      <c r="J16" s="290"/>
      <c r="K16" s="290"/>
      <c r="L16" s="290"/>
      <c r="M16" s="293" t="e">
        <f t="shared" si="3"/>
        <v>#DIV/0!</v>
      </c>
      <c r="N16" s="290"/>
      <c r="O16" s="293">
        <f t="shared" si="0"/>
        <v>0</v>
      </c>
      <c r="P16" s="325">
        <f t="shared" si="4"/>
        <v>0</v>
      </c>
      <c r="Q16" s="312"/>
    </row>
    <row r="17" spans="1:17" ht="45" customHeight="1" hidden="1" outlineLevel="5">
      <c r="A17" s="172" t="s">
        <v>24</v>
      </c>
      <c r="B17" s="324"/>
      <c r="C17" s="306" t="s">
        <v>26</v>
      </c>
      <c r="D17" s="214" t="s">
        <v>24</v>
      </c>
      <c r="E17" s="169"/>
      <c r="F17" s="290"/>
      <c r="G17" s="291">
        <f t="shared" si="1"/>
        <v>0</v>
      </c>
      <c r="H17" s="292" t="e">
        <f t="shared" si="2"/>
        <v>#DIV/0!</v>
      </c>
      <c r="I17" s="290">
        <v>148555700</v>
      </c>
      <c r="J17" s="290"/>
      <c r="K17" s="290"/>
      <c r="L17" s="290"/>
      <c r="M17" s="293" t="e">
        <f t="shared" si="3"/>
        <v>#DIV/0!</v>
      </c>
      <c r="N17" s="290"/>
      <c r="O17" s="293">
        <f t="shared" si="0"/>
        <v>0</v>
      </c>
      <c r="P17" s="325">
        <f t="shared" si="4"/>
        <v>0</v>
      </c>
      <c r="Q17" s="312"/>
    </row>
    <row r="18" spans="1:17" ht="45" customHeight="1" hidden="1" outlineLevel="5">
      <c r="A18" s="172" t="s">
        <v>27</v>
      </c>
      <c r="B18" s="324"/>
      <c r="C18" s="306" t="s">
        <v>28</v>
      </c>
      <c r="D18" s="214" t="s">
        <v>27</v>
      </c>
      <c r="E18" s="169"/>
      <c r="F18" s="290"/>
      <c r="G18" s="291">
        <f t="shared" si="1"/>
        <v>0</v>
      </c>
      <c r="H18" s="292" t="e">
        <f t="shared" si="2"/>
        <v>#DIV/0!</v>
      </c>
      <c r="I18" s="290">
        <v>0</v>
      </c>
      <c r="J18" s="290"/>
      <c r="K18" s="290"/>
      <c r="L18" s="290"/>
      <c r="M18" s="293" t="e">
        <f t="shared" si="3"/>
        <v>#DIV/0!</v>
      </c>
      <c r="N18" s="290"/>
      <c r="O18" s="293" t="e">
        <f t="shared" si="0"/>
        <v>#DIV/0!</v>
      </c>
      <c r="P18" s="325">
        <f t="shared" si="4"/>
        <v>0</v>
      </c>
      <c r="Q18" s="312"/>
    </row>
    <row r="19" spans="1:17" ht="45" customHeight="1" hidden="1" outlineLevel="5">
      <c r="A19" s="172" t="s">
        <v>29</v>
      </c>
      <c r="B19" s="324"/>
      <c r="C19" s="306" t="s">
        <v>26</v>
      </c>
      <c r="D19" s="214" t="s">
        <v>29</v>
      </c>
      <c r="E19" s="169"/>
      <c r="F19" s="290"/>
      <c r="G19" s="291">
        <f t="shared" si="1"/>
        <v>0</v>
      </c>
      <c r="H19" s="292" t="e">
        <f t="shared" si="2"/>
        <v>#DIV/0!</v>
      </c>
      <c r="I19" s="290">
        <v>0</v>
      </c>
      <c r="J19" s="290"/>
      <c r="K19" s="290"/>
      <c r="L19" s="290"/>
      <c r="M19" s="293" t="e">
        <f t="shared" si="3"/>
        <v>#DIV/0!</v>
      </c>
      <c r="N19" s="290"/>
      <c r="O19" s="293" t="e">
        <f t="shared" si="0"/>
        <v>#DIV/0!</v>
      </c>
      <c r="P19" s="325">
        <f t="shared" si="4"/>
        <v>0</v>
      </c>
      <c r="Q19" s="312"/>
    </row>
    <row r="20" spans="1:17" ht="45" customHeight="1" hidden="1" outlineLevel="5">
      <c r="A20" s="172" t="s">
        <v>30</v>
      </c>
      <c r="B20" s="324"/>
      <c r="C20" s="306" t="s">
        <v>26</v>
      </c>
      <c r="D20" s="214" t="s">
        <v>30</v>
      </c>
      <c r="E20" s="169"/>
      <c r="F20" s="290"/>
      <c r="G20" s="291">
        <f t="shared" si="1"/>
        <v>0</v>
      </c>
      <c r="H20" s="292" t="e">
        <f t="shared" si="2"/>
        <v>#DIV/0!</v>
      </c>
      <c r="I20" s="290">
        <v>0</v>
      </c>
      <c r="J20" s="290"/>
      <c r="K20" s="290"/>
      <c r="L20" s="290"/>
      <c r="M20" s="293" t="e">
        <f t="shared" si="3"/>
        <v>#DIV/0!</v>
      </c>
      <c r="N20" s="290"/>
      <c r="O20" s="293" t="e">
        <f t="shared" si="0"/>
        <v>#DIV/0!</v>
      </c>
      <c r="P20" s="325">
        <f t="shared" si="4"/>
        <v>0</v>
      </c>
      <c r="Q20" s="312"/>
    </row>
    <row r="21" spans="1:17" ht="45" customHeight="1" hidden="1" outlineLevel="5">
      <c r="A21" s="172" t="s">
        <v>31</v>
      </c>
      <c r="B21" s="324"/>
      <c r="C21" s="306" t="s">
        <v>28</v>
      </c>
      <c r="D21" s="214" t="s">
        <v>31</v>
      </c>
      <c r="E21" s="169"/>
      <c r="F21" s="290"/>
      <c r="G21" s="291">
        <f t="shared" si="1"/>
        <v>0</v>
      </c>
      <c r="H21" s="292" t="e">
        <f t="shared" si="2"/>
        <v>#DIV/0!</v>
      </c>
      <c r="I21" s="290">
        <v>0</v>
      </c>
      <c r="J21" s="290"/>
      <c r="K21" s="290"/>
      <c r="L21" s="290"/>
      <c r="M21" s="293" t="e">
        <f t="shared" si="3"/>
        <v>#DIV/0!</v>
      </c>
      <c r="N21" s="290"/>
      <c r="O21" s="293" t="e">
        <f t="shared" si="0"/>
        <v>#DIV/0!</v>
      </c>
      <c r="P21" s="325">
        <f t="shared" si="4"/>
        <v>0</v>
      </c>
      <c r="Q21" s="312"/>
    </row>
    <row r="22" spans="1:17" ht="45" customHeight="1" hidden="1" outlineLevel="3">
      <c r="A22" s="172" t="s">
        <v>32</v>
      </c>
      <c r="B22" s="324"/>
      <c r="C22" s="306" t="s">
        <v>23</v>
      </c>
      <c r="D22" s="214" t="s">
        <v>32</v>
      </c>
      <c r="E22" s="169"/>
      <c r="F22" s="290"/>
      <c r="G22" s="291">
        <f t="shared" si="1"/>
        <v>0</v>
      </c>
      <c r="H22" s="292" t="e">
        <f t="shared" si="2"/>
        <v>#DIV/0!</v>
      </c>
      <c r="I22" s="290">
        <v>750300</v>
      </c>
      <c r="J22" s="290"/>
      <c r="K22" s="290"/>
      <c r="L22" s="290"/>
      <c r="M22" s="293" t="e">
        <f t="shared" si="3"/>
        <v>#DIV/0!</v>
      </c>
      <c r="N22" s="290"/>
      <c r="O22" s="293">
        <f t="shared" si="0"/>
        <v>0</v>
      </c>
      <c r="P22" s="325">
        <f t="shared" si="4"/>
        <v>0</v>
      </c>
      <c r="Q22" s="312"/>
    </row>
    <row r="23" spans="1:17" ht="45" customHeight="1" hidden="1" outlineLevel="4">
      <c r="A23" s="172" t="s">
        <v>33</v>
      </c>
      <c r="B23" s="324"/>
      <c r="C23" s="306" t="s">
        <v>34</v>
      </c>
      <c r="D23" s="214" t="s">
        <v>33</v>
      </c>
      <c r="E23" s="169"/>
      <c r="F23" s="290"/>
      <c r="G23" s="291">
        <f t="shared" si="1"/>
        <v>0</v>
      </c>
      <c r="H23" s="292" t="e">
        <f t="shared" si="2"/>
        <v>#DIV/0!</v>
      </c>
      <c r="I23" s="290">
        <v>750300</v>
      </c>
      <c r="J23" s="290"/>
      <c r="K23" s="290"/>
      <c r="L23" s="290"/>
      <c r="M23" s="293" t="e">
        <f t="shared" si="3"/>
        <v>#DIV/0!</v>
      </c>
      <c r="N23" s="290"/>
      <c r="O23" s="293">
        <f t="shared" si="0"/>
        <v>0</v>
      </c>
      <c r="P23" s="325">
        <f t="shared" si="4"/>
        <v>0</v>
      </c>
      <c r="Q23" s="312"/>
    </row>
    <row r="24" spans="1:17" ht="45" customHeight="1" hidden="1" outlineLevel="5">
      <c r="A24" s="172" t="s">
        <v>33</v>
      </c>
      <c r="B24" s="324"/>
      <c r="C24" s="306" t="s">
        <v>35</v>
      </c>
      <c r="D24" s="214" t="s">
        <v>33</v>
      </c>
      <c r="E24" s="169"/>
      <c r="F24" s="290"/>
      <c r="G24" s="291">
        <f t="shared" si="1"/>
        <v>0</v>
      </c>
      <c r="H24" s="292" t="e">
        <f t="shared" si="2"/>
        <v>#DIV/0!</v>
      </c>
      <c r="I24" s="290">
        <v>750300</v>
      </c>
      <c r="J24" s="290"/>
      <c r="K24" s="290"/>
      <c r="L24" s="290"/>
      <c r="M24" s="293" t="e">
        <f t="shared" si="3"/>
        <v>#DIV/0!</v>
      </c>
      <c r="N24" s="290"/>
      <c r="O24" s="293">
        <f t="shared" si="0"/>
        <v>0</v>
      </c>
      <c r="P24" s="325">
        <f t="shared" si="4"/>
        <v>0</v>
      </c>
      <c r="Q24" s="312"/>
    </row>
    <row r="25" spans="1:17" ht="45" customHeight="1" hidden="1" outlineLevel="5">
      <c r="A25" s="172" t="s">
        <v>36</v>
      </c>
      <c r="B25" s="324"/>
      <c r="C25" s="306" t="s">
        <v>35</v>
      </c>
      <c r="D25" s="214" t="s">
        <v>36</v>
      </c>
      <c r="E25" s="169"/>
      <c r="F25" s="290"/>
      <c r="G25" s="291">
        <f t="shared" si="1"/>
        <v>0</v>
      </c>
      <c r="H25" s="292" t="e">
        <f t="shared" si="2"/>
        <v>#DIV/0!</v>
      </c>
      <c r="I25" s="290">
        <v>0</v>
      </c>
      <c r="J25" s="290"/>
      <c r="K25" s="290"/>
      <c r="L25" s="290"/>
      <c r="M25" s="293" t="e">
        <f t="shared" si="3"/>
        <v>#DIV/0!</v>
      </c>
      <c r="N25" s="290"/>
      <c r="O25" s="293" t="e">
        <f t="shared" si="0"/>
        <v>#DIV/0!</v>
      </c>
      <c r="P25" s="325">
        <f t="shared" si="4"/>
        <v>0</v>
      </c>
      <c r="Q25" s="312"/>
    </row>
    <row r="26" spans="1:17" ht="45" customHeight="1" hidden="1" outlineLevel="5">
      <c r="A26" s="172" t="s">
        <v>37</v>
      </c>
      <c r="B26" s="324"/>
      <c r="C26" s="306">
        <v>1.82101020200121E+19</v>
      </c>
      <c r="D26" s="214" t="s">
        <v>37</v>
      </c>
      <c r="E26" s="169"/>
      <c r="F26" s="290"/>
      <c r="G26" s="291">
        <f t="shared" si="1"/>
        <v>0</v>
      </c>
      <c r="H26" s="292" t="e">
        <f t="shared" si="2"/>
        <v>#DIV/0!</v>
      </c>
      <c r="I26" s="290">
        <v>0</v>
      </c>
      <c r="J26" s="290"/>
      <c r="K26" s="290"/>
      <c r="L26" s="290"/>
      <c r="M26" s="293" t="e">
        <f t="shared" si="3"/>
        <v>#DIV/0!</v>
      </c>
      <c r="N26" s="290"/>
      <c r="O26" s="293" t="e">
        <f t="shared" si="0"/>
        <v>#DIV/0!</v>
      </c>
      <c r="P26" s="325">
        <f t="shared" si="4"/>
        <v>0</v>
      </c>
      <c r="Q26" s="312"/>
    </row>
    <row r="27" spans="1:17" ht="45" customHeight="1" hidden="1" outlineLevel="5">
      <c r="A27" s="172" t="s">
        <v>38</v>
      </c>
      <c r="B27" s="324"/>
      <c r="C27" s="306" t="s">
        <v>35</v>
      </c>
      <c r="D27" s="214" t="s">
        <v>38</v>
      </c>
      <c r="E27" s="169"/>
      <c r="F27" s="290"/>
      <c r="G27" s="291">
        <f t="shared" si="1"/>
        <v>0</v>
      </c>
      <c r="H27" s="292" t="e">
        <f t="shared" si="2"/>
        <v>#DIV/0!</v>
      </c>
      <c r="I27" s="290">
        <v>0</v>
      </c>
      <c r="J27" s="290"/>
      <c r="K27" s="290"/>
      <c r="L27" s="290"/>
      <c r="M27" s="293" t="e">
        <f t="shared" si="3"/>
        <v>#DIV/0!</v>
      </c>
      <c r="N27" s="290"/>
      <c r="O27" s="293" t="e">
        <f t="shared" si="0"/>
        <v>#DIV/0!</v>
      </c>
      <c r="P27" s="325">
        <f t="shared" si="4"/>
        <v>0</v>
      </c>
      <c r="Q27" s="312"/>
    </row>
    <row r="28" spans="1:17" ht="45" customHeight="1" hidden="1" outlineLevel="3">
      <c r="A28" s="172" t="s">
        <v>39</v>
      </c>
      <c r="B28" s="324"/>
      <c r="C28" s="306" t="s">
        <v>23</v>
      </c>
      <c r="D28" s="214" t="s">
        <v>39</v>
      </c>
      <c r="E28" s="169"/>
      <c r="F28" s="290"/>
      <c r="G28" s="291">
        <f t="shared" si="1"/>
        <v>0</v>
      </c>
      <c r="H28" s="292" t="e">
        <f t="shared" si="2"/>
        <v>#DIV/0!</v>
      </c>
      <c r="I28" s="290">
        <v>450200</v>
      </c>
      <c r="J28" s="290"/>
      <c r="K28" s="290"/>
      <c r="L28" s="290"/>
      <c r="M28" s="293" t="e">
        <f t="shared" si="3"/>
        <v>#DIV/0!</v>
      </c>
      <c r="N28" s="290"/>
      <c r="O28" s="293">
        <f t="shared" si="0"/>
        <v>0</v>
      </c>
      <c r="P28" s="325">
        <f t="shared" si="4"/>
        <v>0</v>
      </c>
      <c r="Q28" s="312"/>
    </row>
    <row r="29" spans="1:17" ht="45" customHeight="1" hidden="1" outlineLevel="4">
      <c r="A29" s="172" t="s">
        <v>40</v>
      </c>
      <c r="B29" s="324"/>
      <c r="C29" s="306" t="s">
        <v>41</v>
      </c>
      <c r="D29" s="214" t="s">
        <v>40</v>
      </c>
      <c r="E29" s="169"/>
      <c r="F29" s="290"/>
      <c r="G29" s="291">
        <f t="shared" si="1"/>
        <v>0</v>
      </c>
      <c r="H29" s="292" t="e">
        <f t="shared" si="2"/>
        <v>#DIV/0!</v>
      </c>
      <c r="I29" s="290">
        <v>450200</v>
      </c>
      <c r="J29" s="290"/>
      <c r="K29" s="290"/>
      <c r="L29" s="290"/>
      <c r="M29" s="293" t="e">
        <f t="shared" si="3"/>
        <v>#DIV/0!</v>
      </c>
      <c r="N29" s="290"/>
      <c r="O29" s="293">
        <f t="shared" si="0"/>
        <v>0</v>
      </c>
      <c r="P29" s="325">
        <f t="shared" si="4"/>
        <v>0</v>
      </c>
      <c r="Q29" s="312"/>
    </row>
    <row r="30" spans="1:17" ht="45" customHeight="1" hidden="1" outlineLevel="5">
      <c r="A30" s="172" t="s">
        <v>40</v>
      </c>
      <c r="B30" s="324"/>
      <c r="C30" s="306" t="s">
        <v>42</v>
      </c>
      <c r="D30" s="214" t="s">
        <v>40</v>
      </c>
      <c r="E30" s="169"/>
      <c r="F30" s="290"/>
      <c r="G30" s="291">
        <f t="shared" si="1"/>
        <v>0</v>
      </c>
      <c r="H30" s="292" t="e">
        <f t="shared" si="2"/>
        <v>#DIV/0!</v>
      </c>
      <c r="I30" s="290">
        <v>450200</v>
      </c>
      <c r="J30" s="290"/>
      <c r="K30" s="290"/>
      <c r="L30" s="290"/>
      <c r="M30" s="293" t="e">
        <f t="shared" si="3"/>
        <v>#DIV/0!</v>
      </c>
      <c r="N30" s="290"/>
      <c r="O30" s="293">
        <f t="shared" si="0"/>
        <v>0</v>
      </c>
      <c r="P30" s="325">
        <f t="shared" si="4"/>
        <v>0</v>
      </c>
      <c r="Q30" s="312"/>
    </row>
    <row r="31" spans="1:17" ht="45" customHeight="1" hidden="1" outlineLevel="5">
      <c r="A31" s="172" t="s">
        <v>43</v>
      </c>
      <c r="B31" s="324"/>
      <c r="C31" s="306" t="s">
        <v>44</v>
      </c>
      <c r="D31" s="214" t="s">
        <v>43</v>
      </c>
      <c r="E31" s="169"/>
      <c r="F31" s="290"/>
      <c r="G31" s="291">
        <f t="shared" si="1"/>
        <v>0</v>
      </c>
      <c r="H31" s="292" t="e">
        <f t="shared" si="2"/>
        <v>#DIV/0!</v>
      </c>
      <c r="I31" s="290">
        <v>0</v>
      </c>
      <c r="J31" s="290"/>
      <c r="K31" s="290"/>
      <c r="L31" s="290"/>
      <c r="M31" s="293" t="e">
        <f t="shared" si="3"/>
        <v>#DIV/0!</v>
      </c>
      <c r="N31" s="290"/>
      <c r="O31" s="293" t="e">
        <f t="shared" si="0"/>
        <v>#DIV/0!</v>
      </c>
      <c r="P31" s="325">
        <f t="shared" si="4"/>
        <v>0</v>
      </c>
      <c r="Q31" s="312"/>
    </row>
    <row r="32" spans="1:17" ht="45" customHeight="1" hidden="1" outlineLevel="5">
      <c r="A32" s="172" t="s">
        <v>45</v>
      </c>
      <c r="B32" s="324"/>
      <c r="C32" s="306">
        <v>1.82101020300121E+19</v>
      </c>
      <c r="D32" s="214" t="s">
        <v>45</v>
      </c>
      <c r="E32" s="169"/>
      <c r="F32" s="290"/>
      <c r="G32" s="291">
        <f t="shared" si="1"/>
        <v>0</v>
      </c>
      <c r="H32" s="292" t="e">
        <f t="shared" si="2"/>
        <v>#DIV/0!</v>
      </c>
      <c r="I32" s="290">
        <v>0</v>
      </c>
      <c r="J32" s="290"/>
      <c r="K32" s="290"/>
      <c r="L32" s="290"/>
      <c r="M32" s="293" t="e">
        <f t="shared" si="3"/>
        <v>#DIV/0!</v>
      </c>
      <c r="N32" s="290"/>
      <c r="O32" s="293" t="e">
        <f t="shared" si="0"/>
        <v>#DIV/0!</v>
      </c>
      <c r="P32" s="325">
        <f t="shared" si="4"/>
        <v>0</v>
      </c>
      <c r="Q32" s="312"/>
    </row>
    <row r="33" spans="1:17" ht="45" customHeight="1" hidden="1" outlineLevel="5">
      <c r="A33" s="172" t="s">
        <v>46</v>
      </c>
      <c r="B33" s="324"/>
      <c r="C33" s="306" t="s">
        <v>44</v>
      </c>
      <c r="D33" s="214" t="s">
        <v>46</v>
      </c>
      <c r="E33" s="169"/>
      <c r="F33" s="290"/>
      <c r="G33" s="291">
        <f t="shared" si="1"/>
        <v>0</v>
      </c>
      <c r="H33" s="292" t="e">
        <f t="shared" si="2"/>
        <v>#DIV/0!</v>
      </c>
      <c r="I33" s="290">
        <v>0</v>
      </c>
      <c r="J33" s="290"/>
      <c r="K33" s="290"/>
      <c r="L33" s="290"/>
      <c r="M33" s="293" t="e">
        <f t="shared" si="3"/>
        <v>#DIV/0!</v>
      </c>
      <c r="N33" s="290"/>
      <c r="O33" s="293" t="e">
        <f t="shared" si="0"/>
        <v>#DIV/0!</v>
      </c>
      <c r="P33" s="325">
        <f t="shared" si="4"/>
        <v>0</v>
      </c>
      <c r="Q33" s="312"/>
    </row>
    <row r="34" spans="1:17" ht="45" customHeight="1" hidden="1" outlineLevel="5">
      <c r="A34" s="172" t="s">
        <v>47</v>
      </c>
      <c r="B34" s="324"/>
      <c r="C34" s="306" t="s">
        <v>44</v>
      </c>
      <c r="D34" s="214" t="s">
        <v>47</v>
      </c>
      <c r="E34" s="169"/>
      <c r="F34" s="290"/>
      <c r="G34" s="291">
        <f t="shared" si="1"/>
        <v>0</v>
      </c>
      <c r="H34" s="292" t="e">
        <f t="shared" si="2"/>
        <v>#DIV/0!</v>
      </c>
      <c r="I34" s="290">
        <v>0</v>
      </c>
      <c r="J34" s="290"/>
      <c r="K34" s="290"/>
      <c r="L34" s="290"/>
      <c r="M34" s="293" t="e">
        <f t="shared" si="3"/>
        <v>#DIV/0!</v>
      </c>
      <c r="N34" s="290"/>
      <c r="O34" s="293" t="e">
        <f t="shared" si="0"/>
        <v>#DIV/0!</v>
      </c>
      <c r="P34" s="325">
        <f t="shared" si="4"/>
        <v>0</v>
      </c>
      <c r="Q34" s="312"/>
    </row>
    <row r="35" spans="1:17" ht="45" customHeight="1" hidden="1" outlineLevel="3">
      <c r="A35" s="172" t="s">
        <v>48</v>
      </c>
      <c r="B35" s="324"/>
      <c r="C35" s="306" t="s">
        <v>23</v>
      </c>
      <c r="D35" s="214" t="s">
        <v>48</v>
      </c>
      <c r="E35" s="169"/>
      <c r="F35" s="290"/>
      <c r="G35" s="291">
        <f t="shared" si="1"/>
        <v>0</v>
      </c>
      <c r="H35" s="292" t="e">
        <f t="shared" si="2"/>
        <v>#DIV/0!</v>
      </c>
      <c r="I35" s="290">
        <v>300100</v>
      </c>
      <c r="J35" s="290"/>
      <c r="K35" s="290"/>
      <c r="L35" s="290"/>
      <c r="M35" s="293" t="e">
        <f t="shared" si="3"/>
        <v>#DIV/0!</v>
      </c>
      <c r="N35" s="290"/>
      <c r="O35" s="293">
        <f t="shared" si="0"/>
        <v>0</v>
      </c>
      <c r="P35" s="325">
        <f t="shared" si="4"/>
        <v>0</v>
      </c>
      <c r="Q35" s="312"/>
    </row>
    <row r="36" spans="1:17" ht="45" customHeight="1" hidden="1" outlineLevel="4">
      <c r="A36" s="172" t="s">
        <v>49</v>
      </c>
      <c r="B36" s="324"/>
      <c r="C36" s="306" t="s">
        <v>50</v>
      </c>
      <c r="D36" s="214" t="s">
        <v>49</v>
      </c>
      <c r="E36" s="169"/>
      <c r="F36" s="290"/>
      <c r="G36" s="291">
        <f t="shared" si="1"/>
        <v>0</v>
      </c>
      <c r="H36" s="292" t="e">
        <f t="shared" si="2"/>
        <v>#DIV/0!</v>
      </c>
      <c r="I36" s="290">
        <v>300100</v>
      </c>
      <c r="J36" s="290"/>
      <c r="K36" s="290"/>
      <c r="L36" s="290"/>
      <c r="M36" s="293" t="e">
        <f t="shared" si="3"/>
        <v>#DIV/0!</v>
      </c>
      <c r="N36" s="290"/>
      <c r="O36" s="293">
        <f t="shared" si="0"/>
        <v>0</v>
      </c>
      <c r="P36" s="325">
        <f t="shared" si="4"/>
        <v>0</v>
      </c>
      <c r="Q36" s="312"/>
    </row>
    <row r="37" spans="1:17" ht="45" customHeight="1" hidden="1" outlineLevel="5">
      <c r="A37" s="172" t="s">
        <v>49</v>
      </c>
      <c r="B37" s="324"/>
      <c r="C37" s="306" t="s">
        <v>51</v>
      </c>
      <c r="D37" s="214" t="s">
        <v>49</v>
      </c>
      <c r="E37" s="169"/>
      <c r="F37" s="290"/>
      <c r="G37" s="291">
        <f t="shared" si="1"/>
        <v>0</v>
      </c>
      <c r="H37" s="292" t="e">
        <f t="shared" si="2"/>
        <v>#DIV/0!</v>
      </c>
      <c r="I37" s="290">
        <v>300100</v>
      </c>
      <c r="J37" s="290"/>
      <c r="K37" s="290"/>
      <c r="L37" s="290"/>
      <c r="M37" s="293" t="e">
        <f t="shared" si="3"/>
        <v>#DIV/0!</v>
      </c>
      <c r="N37" s="290"/>
      <c r="O37" s="293">
        <f t="shared" si="0"/>
        <v>0</v>
      </c>
      <c r="P37" s="325">
        <f t="shared" si="4"/>
        <v>0</v>
      </c>
      <c r="Q37" s="312"/>
    </row>
    <row r="38" spans="1:17" ht="45" customHeight="1" hidden="1" outlineLevel="5">
      <c r="A38" s="172" t="s">
        <v>52</v>
      </c>
      <c r="B38" s="324"/>
      <c r="C38" s="306" t="s">
        <v>53</v>
      </c>
      <c r="D38" s="214" t="s">
        <v>52</v>
      </c>
      <c r="E38" s="169">
        <v>8650982.19</v>
      </c>
      <c r="F38" s="290"/>
      <c r="G38" s="291">
        <f t="shared" si="1"/>
        <v>-8650982.19</v>
      </c>
      <c r="H38" s="292">
        <f t="shared" si="2"/>
        <v>0</v>
      </c>
      <c r="I38" s="290">
        <v>0</v>
      </c>
      <c r="J38" s="290"/>
      <c r="K38" s="290"/>
      <c r="L38" s="290"/>
      <c r="M38" s="293">
        <f t="shared" si="3"/>
        <v>0</v>
      </c>
      <c r="N38" s="290"/>
      <c r="O38" s="293" t="e">
        <f t="shared" si="0"/>
        <v>#DIV/0!</v>
      </c>
      <c r="P38" s="325">
        <f t="shared" si="4"/>
        <v>0</v>
      </c>
      <c r="Q38" s="312"/>
    </row>
    <row r="39" spans="1:17" ht="41.25" customHeight="1" outlineLevel="2" collapsed="1">
      <c r="A39" s="172" t="s">
        <v>54</v>
      </c>
      <c r="B39" s="324" t="s">
        <v>55</v>
      </c>
      <c r="C39" s="306" t="s">
        <v>56</v>
      </c>
      <c r="D39" s="214" t="s">
        <v>54</v>
      </c>
      <c r="E39" s="169">
        <v>10254357.32</v>
      </c>
      <c r="F39" s="290">
        <v>4.8</v>
      </c>
      <c r="G39" s="291">
        <f t="shared" si="1"/>
        <v>-10254352.52</v>
      </c>
      <c r="H39" s="292">
        <f t="shared" si="2"/>
        <v>4.6809369424236134E-07</v>
      </c>
      <c r="I39" s="290">
        <v>9197170</v>
      </c>
      <c r="J39" s="290">
        <v>676056.9</v>
      </c>
      <c r="K39" s="290">
        <v>5</v>
      </c>
      <c r="L39" s="294">
        <f>K39-J39</f>
        <v>-676051.9</v>
      </c>
      <c r="M39" s="293">
        <f t="shared" si="3"/>
        <v>-0.8969040202257451</v>
      </c>
      <c r="N39" s="290">
        <f>K39-I39</f>
        <v>-9197165</v>
      </c>
      <c r="O39" s="293">
        <f t="shared" si="0"/>
        <v>5.436454909499335E-07</v>
      </c>
      <c r="P39" s="325">
        <f t="shared" si="4"/>
        <v>0.20000000000000018</v>
      </c>
      <c r="Q39" s="313" t="s">
        <v>267</v>
      </c>
    </row>
    <row r="40" spans="1:17" ht="58.5" customHeight="1" hidden="1" outlineLevel="1">
      <c r="A40" s="172" t="s">
        <v>57</v>
      </c>
      <c r="B40" s="324" t="s">
        <v>58</v>
      </c>
      <c r="C40" s="306" t="s">
        <v>59</v>
      </c>
      <c r="D40" s="214" t="s">
        <v>57</v>
      </c>
      <c r="E40" s="170">
        <f>E41+E42+E52+E56</f>
        <v>45903932.26</v>
      </c>
      <c r="F40" s="290">
        <f>F41+F42+F52+F56</f>
        <v>140610.41</v>
      </c>
      <c r="G40" s="291">
        <f t="shared" si="1"/>
        <v>-45763321.85</v>
      </c>
      <c r="H40" s="292">
        <f t="shared" si="2"/>
        <v>0.0030631452051554592</v>
      </c>
      <c r="I40" s="290">
        <f>I41+I42+I52+I56</f>
        <v>44278800</v>
      </c>
      <c r="J40" s="290">
        <f>J41+J42+J52+J56</f>
        <v>1291804</v>
      </c>
      <c r="K40" s="290">
        <f>K41+K42+K52+K56</f>
        <v>-204261.46000000002</v>
      </c>
      <c r="L40" s="294">
        <f>K40-J40</f>
        <v>-1496065.46</v>
      </c>
      <c r="M40" s="293">
        <f t="shared" si="3"/>
        <v>-0.9675608808541943</v>
      </c>
      <c r="N40" s="290">
        <f>N41+N42+N52+N56</f>
        <v>-44483061.46</v>
      </c>
      <c r="O40" s="293">
        <f t="shared" si="0"/>
        <v>-0.0046130757834449</v>
      </c>
      <c r="P40" s="325">
        <f t="shared" si="4"/>
        <v>-344871.87</v>
      </c>
      <c r="Q40" s="313" t="s">
        <v>267</v>
      </c>
    </row>
    <row r="41" spans="1:17" ht="41.25" customHeight="1" outlineLevel="1">
      <c r="A41" s="172"/>
      <c r="B41" s="324" t="s">
        <v>60</v>
      </c>
      <c r="C41" s="306" t="s">
        <v>61</v>
      </c>
      <c r="D41" s="168" t="s">
        <v>62</v>
      </c>
      <c r="E41" s="169">
        <v>33191065.25</v>
      </c>
      <c r="F41" s="290">
        <v>16.7</v>
      </c>
      <c r="G41" s="295">
        <f>F41-E41</f>
        <v>-33191048.55</v>
      </c>
      <c r="H41" s="293"/>
      <c r="I41" s="290">
        <v>31715800</v>
      </c>
      <c r="J41" s="290">
        <v>728906</v>
      </c>
      <c r="K41" s="290">
        <v>20.4</v>
      </c>
      <c r="L41" s="290">
        <f>K41-J41</f>
        <v>-728885.6</v>
      </c>
      <c r="M41" s="293">
        <f t="shared" si="3"/>
        <v>-0.9555528187734822</v>
      </c>
      <c r="N41" s="290">
        <f>K41-I41</f>
        <v>-31715779.6</v>
      </c>
      <c r="O41" s="293">
        <f t="shared" si="0"/>
        <v>6.432125312935508E-07</v>
      </c>
      <c r="P41" s="326">
        <f>K41-F41</f>
        <v>3.6999999999999993</v>
      </c>
      <c r="Q41" s="314"/>
    </row>
    <row r="42" spans="1:17" ht="46.5" hidden="1" outlineLevel="2">
      <c r="A42" s="172" t="s">
        <v>63</v>
      </c>
      <c r="B42" s="324" t="s">
        <v>64</v>
      </c>
      <c r="C42" s="306" t="s">
        <v>65</v>
      </c>
      <c r="D42" s="168" t="s">
        <v>63</v>
      </c>
      <c r="E42" s="169">
        <v>108221.73</v>
      </c>
      <c r="F42" s="290">
        <v>77531.95</v>
      </c>
      <c r="G42" s="295">
        <f>F42-E42</f>
        <v>-30689.78</v>
      </c>
      <c r="H42" s="293">
        <f>F42/E42</f>
        <v>0.7164175808315021</v>
      </c>
      <c r="I42" s="290"/>
      <c r="J42" s="290"/>
      <c r="K42" s="290">
        <v>-221964.26</v>
      </c>
      <c r="L42" s="290">
        <f aca="true" t="shared" si="5" ref="L42:L56">K42-J42</f>
        <v>-221964.26</v>
      </c>
      <c r="M42" s="293">
        <f t="shared" si="3"/>
        <v>0</v>
      </c>
      <c r="N42" s="290">
        <f>K42-I42</f>
        <v>-221964.26</v>
      </c>
      <c r="O42" s="293"/>
      <c r="P42" s="326">
        <f>K42-F42</f>
        <v>-299496.21</v>
      </c>
      <c r="Q42" s="315" t="s">
        <v>263</v>
      </c>
    </row>
    <row r="43" spans="1:17" ht="45" customHeight="1" hidden="1" outlineLevel="3">
      <c r="A43" s="172" t="s">
        <v>66</v>
      </c>
      <c r="B43" s="324"/>
      <c r="C43" s="306" t="s">
        <v>23</v>
      </c>
      <c r="D43" s="168" t="s">
        <v>66</v>
      </c>
      <c r="E43" s="169"/>
      <c r="F43" s="290"/>
      <c r="G43" s="295">
        <f aca="true" t="shared" si="6" ref="G43:G56">F43-E43</f>
        <v>0</v>
      </c>
      <c r="H43" s="293" t="e">
        <f aca="true" t="shared" si="7" ref="H43:H56">F43/E43</f>
        <v>#DIV/0!</v>
      </c>
      <c r="I43" s="290">
        <v>57591300</v>
      </c>
      <c r="J43" s="290"/>
      <c r="K43" s="290"/>
      <c r="L43" s="290">
        <f t="shared" si="5"/>
        <v>0</v>
      </c>
      <c r="M43" s="293" t="e">
        <f t="shared" si="3"/>
        <v>#DIV/0!</v>
      </c>
      <c r="N43" s="290">
        <f aca="true" t="shared" si="8" ref="N43:N56">K43-I43</f>
        <v>-57591300</v>
      </c>
      <c r="O43" s="293">
        <f t="shared" si="0"/>
        <v>0</v>
      </c>
      <c r="P43" s="326">
        <f aca="true" t="shared" si="9" ref="P43:P56">K43-F43</f>
        <v>0</v>
      </c>
      <c r="Q43" s="312"/>
    </row>
    <row r="44" spans="1:17" ht="45" customHeight="1" hidden="1" outlineLevel="4">
      <c r="A44" s="172" t="s">
        <v>67</v>
      </c>
      <c r="B44" s="324"/>
      <c r="C44" s="306" t="s">
        <v>68</v>
      </c>
      <c r="D44" s="168" t="s">
        <v>67</v>
      </c>
      <c r="E44" s="169"/>
      <c r="F44" s="290"/>
      <c r="G44" s="295">
        <f t="shared" si="6"/>
        <v>0</v>
      </c>
      <c r="H44" s="293" t="e">
        <f t="shared" si="7"/>
        <v>#DIV/0!</v>
      </c>
      <c r="I44" s="290">
        <v>57591300</v>
      </c>
      <c r="J44" s="290"/>
      <c r="K44" s="290"/>
      <c r="L44" s="290">
        <f t="shared" si="5"/>
        <v>0</v>
      </c>
      <c r="M44" s="293" t="e">
        <f t="shared" si="3"/>
        <v>#DIV/0!</v>
      </c>
      <c r="N44" s="290">
        <f t="shared" si="8"/>
        <v>-57591300</v>
      </c>
      <c r="O44" s="293">
        <f t="shared" si="0"/>
        <v>0</v>
      </c>
      <c r="P44" s="326">
        <f t="shared" si="9"/>
        <v>0</v>
      </c>
      <c r="Q44" s="312"/>
    </row>
    <row r="45" spans="1:17" ht="45" customHeight="1" hidden="1" outlineLevel="5">
      <c r="A45" s="172" t="s">
        <v>67</v>
      </c>
      <c r="B45" s="324"/>
      <c r="C45" s="306" t="s">
        <v>69</v>
      </c>
      <c r="D45" s="168" t="s">
        <v>67</v>
      </c>
      <c r="E45" s="169"/>
      <c r="F45" s="290"/>
      <c r="G45" s="295">
        <f t="shared" si="6"/>
        <v>0</v>
      </c>
      <c r="H45" s="293" t="e">
        <f t="shared" si="7"/>
        <v>#DIV/0!</v>
      </c>
      <c r="I45" s="290">
        <v>57591300</v>
      </c>
      <c r="J45" s="290"/>
      <c r="K45" s="290"/>
      <c r="L45" s="290">
        <f t="shared" si="5"/>
        <v>0</v>
      </c>
      <c r="M45" s="293" t="e">
        <f t="shared" si="3"/>
        <v>#DIV/0!</v>
      </c>
      <c r="N45" s="290">
        <f t="shared" si="8"/>
        <v>-57591300</v>
      </c>
      <c r="O45" s="293">
        <f t="shared" si="0"/>
        <v>0</v>
      </c>
      <c r="P45" s="326">
        <f t="shared" si="9"/>
        <v>0</v>
      </c>
      <c r="Q45" s="312"/>
    </row>
    <row r="46" spans="1:17" ht="45" customHeight="1" hidden="1" outlineLevel="5">
      <c r="A46" s="172" t="s">
        <v>70</v>
      </c>
      <c r="B46" s="324"/>
      <c r="C46" s="306" t="s">
        <v>69</v>
      </c>
      <c r="D46" s="168" t="s">
        <v>70</v>
      </c>
      <c r="E46" s="169"/>
      <c r="F46" s="290"/>
      <c r="G46" s="295">
        <f t="shared" si="6"/>
        <v>0</v>
      </c>
      <c r="H46" s="293" t="e">
        <f t="shared" si="7"/>
        <v>#DIV/0!</v>
      </c>
      <c r="I46" s="290">
        <v>0</v>
      </c>
      <c r="J46" s="290"/>
      <c r="K46" s="290"/>
      <c r="L46" s="290">
        <f t="shared" si="5"/>
        <v>0</v>
      </c>
      <c r="M46" s="293" t="e">
        <f t="shared" si="3"/>
        <v>#DIV/0!</v>
      </c>
      <c r="N46" s="290">
        <f t="shared" si="8"/>
        <v>0</v>
      </c>
      <c r="O46" s="293" t="e">
        <f t="shared" si="0"/>
        <v>#DIV/0!</v>
      </c>
      <c r="P46" s="326">
        <f t="shared" si="9"/>
        <v>0</v>
      </c>
      <c r="Q46" s="312"/>
    </row>
    <row r="47" spans="1:17" ht="45" customHeight="1" hidden="1" outlineLevel="5">
      <c r="A47" s="172" t="s">
        <v>71</v>
      </c>
      <c r="B47" s="324"/>
      <c r="C47" s="306" t="s">
        <v>69</v>
      </c>
      <c r="D47" s="168" t="s">
        <v>71</v>
      </c>
      <c r="E47" s="169"/>
      <c r="F47" s="290"/>
      <c r="G47" s="295">
        <f t="shared" si="6"/>
        <v>0</v>
      </c>
      <c r="H47" s="293" t="e">
        <f t="shared" si="7"/>
        <v>#DIV/0!</v>
      </c>
      <c r="I47" s="290">
        <v>0</v>
      </c>
      <c r="J47" s="290"/>
      <c r="K47" s="290"/>
      <c r="L47" s="290">
        <f t="shared" si="5"/>
        <v>0</v>
      </c>
      <c r="M47" s="293" t="e">
        <f t="shared" si="3"/>
        <v>#DIV/0!</v>
      </c>
      <c r="N47" s="290">
        <f t="shared" si="8"/>
        <v>0</v>
      </c>
      <c r="O47" s="293" t="e">
        <f t="shared" si="0"/>
        <v>#DIV/0!</v>
      </c>
      <c r="P47" s="326">
        <f t="shared" si="9"/>
        <v>0</v>
      </c>
      <c r="Q47" s="312"/>
    </row>
    <row r="48" spans="1:17" ht="45" customHeight="1" hidden="1" outlineLevel="5">
      <c r="A48" s="172" t="s">
        <v>72</v>
      </c>
      <c r="B48" s="324"/>
      <c r="C48" s="306" t="s">
        <v>69</v>
      </c>
      <c r="D48" s="168" t="s">
        <v>72</v>
      </c>
      <c r="E48" s="169"/>
      <c r="F48" s="290"/>
      <c r="G48" s="295">
        <f t="shared" si="6"/>
        <v>0</v>
      </c>
      <c r="H48" s="293" t="e">
        <f t="shared" si="7"/>
        <v>#DIV/0!</v>
      </c>
      <c r="I48" s="290">
        <v>0</v>
      </c>
      <c r="J48" s="290"/>
      <c r="K48" s="290"/>
      <c r="L48" s="290">
        <f t="shared" si="5"/>
        <v>0</v>
      </c>
      <c r="M48" s="293" t="e">
        <f t="shared" si="3"/>
        <v>#DIV/0!</v>
      </c>
      <c r="N48" s="290">
        <f t="shared" si="8"/>
        <v>0</v>
      </c>
      <c r="O48" s="293" t="e">
        <f t="shared" si="0"/>
        <v>#DIV/0!</v>
      </c>
      <c r="P48" s="326">
        <f t="shared" si="9"/>
        <v>0</v>
      </c>
      <c r="Q48" s="312"/>
    </row>
    <row r="49" spans="1:17" ht="45" customHeight="1" hidden="1" outlineLevel="3">
      <c r="A49" s="172" t="s">
        <v>73</v>
      </c>
      <c r="B49" s="324"/>
      <c r="C49" s="306" t="s">
        <v>23</v>
      </c>
      <c r="D49" s="168" t="s">
        <v>73</v>
      </c>
      <c r="E49" s="169"/>
      <c r="F49" s="290"/>
      <c r="G49" s="295">
        <f t="shared" si="6"/>
        <v>0</v>
      </c>
      <c r="H49" s="293" t="e">
        <f t="shared" si="7"/>
        <v>#DIV/0!</v>
      </c>
      <c r="I49" s="290">
        <v>0</v>
      </c>
      <c r="J49" s="290"/>
      <c r="K49" s="290"/>
      <c r="L49" s="290">
        <f t="shared" si="5"/>
        <v>0</v>
      </c>
      <c r="M49" s="293" t="e">
        <f t="shared" si="3"/>
        <v>#DIV/0!</v>
      </c>
      <c r="N49" s="290">
        <f t="shared" si="8"/>
        <v>0</v>
      </c>
      <c r="O49" s="293" t="e">
        <f t="shared" si="0"/>
        <v>#DIV/0!</v>
      </c>
      <c r="P49" s="326">
        <f t="shared" si="9"/>
        <v>0</v>
      </c>
      <c r="Q49" s="312"/>
    </row>
    <row r="50" spans="1:17" ht="45" customHeight="1" hidden="1" outlineLevel="4">
      <c r="A50" s="172" t="s">
        <v>74</v>
      </c>
      <c r="B50" s="324"/>
      <c r="C50" s="306" t="s">
        <v>75</v>
      </c>
      <c r="D50" s="168" t="s">
        <v>74</v>
      </c>
      <c r="E50" s="169"/>
      <c r="F50" s="290"/>
      <c r="G50" s="295">
        <f t="shared" si="6"/>
        <v>0</v>
      </c>
      <c r="H50" s="293" t="e">
        <f t="shared" si="7"/>
        <v>#DIV/0!</v>
      </c>
      <c r="I50" s="290">
        <v>0</v>
      </c>
      <c r="J50" s="290"/>
      <c r="K50" s="290"/>
      <c r="L50" s="290">
        <f t="shared" si="5"/>
        <v>0</v>
      </c>
      <c r="M50" s="293" t="e">
        <f t="shared" si="3"/>
        <v>#DIV/0!</v>
      </c>
      <c r="N50" s="290">
        <f t="shared" si="8"/>
        <v>0</v>
      </c>
      <c r="O50" s="293" t="e">
        <f t="shared" si="0"/>
        <v>#DIV/0!</v>
      </c>
      <c r="P50" s="326">
        <f t="shared" si="9"/>
        <v>0</v>
      </c>
      <c r="Q50" s="312"/>
    </row>
    <row r="51" spans="1:17" ht="45" customHeight="1" hidden="1" outlineLevel="5">
      <c r="A51" s="172" t="s">
        <v>76</v>
      </c>
      <c r="B51" s="324"/>
      <c r="C51" s="306" t="s">
        <v>77</v>
      </c>
      <c r="D51" s="168" t="s">
        <v>76</v>
      </c>
      <c r="E51" s="169"/>
      <c r="F51" s="290"/>
      <c r="G51" s="295">
        <f t="shared" si="6"/>
        <v>0</v>
      </c>
      <c r="H51" s="293" t="e">
        <f t="shared" si="7"/>
        <v>#DIV/0!</v>
      </c>
      <c r="I51" s="290">
        <v>0</v>
      </c>
      <c r="J51" s="290"/>
      <c r="K51" s="290"/>
      <c r="L51" s="290">
        <f t="shared" si="5"/>
        <v>0</v>
      </c>
      <c r="M51" s="293" t="e">
        <f t="shared" si="3"/>
        <v>#DIV/0!</v>
      </c>
      <c r="N51" s="290">
        <f t="shared" si="8"/>
        <v>0</v>
      </c>
      <c r="O51" s="293" t="e">
        <f t="shared" si="0"/>
        <v>#DIV/0!</v>
      </c>
      <c r="P51" s="326">
        <f t="shared" si="9"/>
        <v>0</v>
      </c>
      <c r="Q51" s="312"/>
    </row>
    <row r="52" spans="1:17" ht="40.5" customHeight="1" hidden="1" outlineLevel="2" collapsed="1">
      <c r="A52" s="172" t="s">
        <v>78</v>
      </c>
      <c r="B52" s="324" t="s">
        <v>79</v>
      </c>
      <c r="C52" s="306" t="s">
        <v>80</v>
      </c>
      <c r="D52" s="168" t="s">
        <v>78</v>
      </c>
      <c r="E52" s="170">
        <v>63052.38</v>
      </c>
      <c r="F52" s="295">
        <v>63055.66</v>
      </c>
      <c r="G52" s="295">
        <f t="shared" si="6"/>
        <v>3.280000000006112</v>
      </c>
      <c r="H52" s="293">
        <f t="shared" si="7"/>
        <v>1.000052020240949</v>
      </c>
      <c r="I52" s="290">
        <v>63000</v>
      </c>
      <c r="J52" s="290"/>
      <c r="K52" s="295">
        <v>17679</v>
      </c>
      <c r="L52" s="290">
        <f t="shared" si="5"/>
        <v>17679</v>
      </c>
      <c r="M52" s="293">
        <f t="shared" si="3"/>
        <v>19207.317073134942</v>
      </c>
      <c r="N52" s="290">
        <f t="shared" si="8"/>
        <v>-45321</v>
      </c>
      <c r="O52" s="293">
        <f t="shared" si="0"/>
        <v>0.2806190476190476</v>
      </c>
      <c r="P52" s="326">
        <f t="shared" si="9"/>
        <v>-45376.66</v>
      </c>
      <c r="Q52" s="312"/>
    </row>
    <row r="53" spans="1:17" ht="45" customHeight="1" hidden="1" outlineLevel="3">
      <c r="A53" s="172" t="s">
        <v>81</v>
      </c>
      <c r="B53" s="324"/>
      <c r="C53" s="306" t="s">
        <v>23</v>
      </c>
      <c r="D53" s="168" t="s">
        <v>81</v>
      </c>
      <c r="E53" s="169"/>
      <c r="F53" s="290"/>
      <c r="G53" s="295">
        <f t="shared" si="6"/>
        <v>0</v>
      </c>
      <c r="H53" s="293" t="e">
        <f t="shared" si="7"/>
        <v>#DIV/0!</v>
      </c>
      <c r="I53" s="290"/>
      <c r="J53" s="290"/>
      <c r="K53" s="290"/>
      <c r="L53" s="290">
        <f t="shared" si="5"/>
        <v>0</v>
      </c>
      <c r="M53" s="293" t="e">
        <f t="shared" si="3"/>
        <v>#DIV/0!</v>
      </c>
      <c r="N53" s="290">
        <f t="shared" si="8"/>
        <v>0</v>
      </c>
      <c r="O53" s="293" t="e">
        <f t="shared" si="0"/>
        <v>#DIV/0!</v>
      </c>
      <c r="P53" s="326">
        <f t="shared" si="9"/>
        <v>0</v>
      </c>
      <c r="Q53" s="312"/>
    </row>
    <row r="54" spans="1:17" ht="45" customHeight="1" hidden="1" outlineLevel="4">
      <c r="A54" s="172" t="s">
        <v>82</v>
      </c>
      <c r="B54" s="324"/>
      <c r="C54" s="306" t="s">
        <v>83</v>
      </c>
      <c r="D54" s="168" t="s">
        <v>82</v>
      </c>
      <c r="E54" s="169"/>
      <c r="F54" s="290"/>
      <c r="G54" s="295">
        <f t="shared" si="6"/>
        <v>0</v>
      </c>
      <c r="H54" s="293" t="e">
        <f t="shared" si="7"/>
        <v>#DIV/0!</v>
      </c>
      <c r="I54" s="290"/>
      <c r="J54" s="290"/>
      <c r="K54" s="290"/>
      <c r="L54" s="290">
        <f t="shared" si="5"/>
        <v>0</v>
      </c>
      <c r="M54" s="293" t="e">
        <f t="shared" si="3"/>
        <v>#DIV/0!</v>
      </c>
      <c r="N54" s="290">
        <f t="shared" si="8"/>
        <v>0</v>
      </c>
      <c r="O54" s="293" t="e">
        <f t="shared" si="0"/>
        <v>#DIV/0!</v>
      </c>
      <c r="P54" s="326">
        <f t="shared" si="9"/>
        <v>0</v>
      </c>
      <c r="Q54" s="312"/>
    </row>
    <row r="55" spans="1:17" ht="26.25" customHeight="1" hidden="1" outlineLevel="5">
      <c r="A55" s="172" t="s">
        <v>82</v>
      </c>
      <c r="B55" s="324"/>
      <c r="C55" s="306" t="s">
        <v>84</v>
      </c>
      <c r="D55" s="168" t="s">
        <v>82</v>
      </c>
      <c r="E55" s="169"/>
      <c r="F55" s="290"/>
      <c r="G55" s="295">
        <f t="shared" si="6"/>
        <v>0</v>
      </c>
      <c r="H55" s="293" t="e">
        <f t="shared" si="7"/>
        <v>#DIV/0!</v>
      </c>
      <c r="I55" s="290"/>
      <c r="J55" s="290"/>
      <c r="K55" s="290"/>
      <c r="L55" s="290">
        <f t="shared" si="5"/>
        <v>0</v>
      </c>
      <c r="M55" s="293" t="e">
        <f t="shared" si="3"/>
        <v>#DIV/0!</v>
      </c>
      <c r="N55" s="290">
        <f t="shared" si="8"/>
        <v>0</v>
      </c>
      <c r="O55" s="293" t="e">
        <f t="shared" si="0"/>
        <v>#DIV/0!</v>
      </c>
      <c r="P55" s="326">
        <f t="shared" si="9"/>
        <v>0</v>
      </c>
      <c r="Q55" s="312"/>
    </row>
    <row r="56" spans="1:17" ht="35.25" customHeight="1" outlineLevel="2" collapsed="1">
      <c r="A56" s="172" t="s">
        <v>85</v>
      </c>
      <c r="B56" s="324" t="s">
        <v>86</v>
      </c>
      <c r="C56" s="306" t="s">
        <v>87</v>
      </c>
      <c r="D56" s="168" t="s">
        <v>85</v>
      </c>
      <c r="E56" s="169">
        <v>12541592.9</v>
      </c>
      <c r="F56" s="290">
        <v>6.1</v>
      </c>
      <c r="G56" s="295">
        <f t="shared" si="6"/>
        <v>-12541586.8</v>
      </c>
      <c r="H56" s="293">
        <f t="shared" si="7"/>
        <v>4.863815983055868E-07</v>
      </c>
      <c r="I56" s="290">
        <v>12500000</v>
      </c>
      <c r="J56" s="290">
        <v>562898</v>
      </c>
      <c r="K56" s="290">
        <v>3.4</v>
      </c>
      <c r="L56" s="290">
        <f t="shared" si="5"/>
        <v>-562894.6</v>
      </c>
      <c r="M56" s="293">
        <f t="shared" si="3"/>
        <v>-0.9966840878540185</v>
      </c>
      <c r="N56" s="290">
        <f t="shared" si="8"/>
        <v>-12499996.6</v>
      </c>
      <c r="O56" s="293">
        <f t="shared" si="0"/>
        <v>2.72E-07</v>
      </c>
      <c r="P56" s="326">
        <f t="shared" si="9"/>
        <v>-2.6999999999999997</v>
      </c>
      <c r="Q56" s="315"/>
    </row>
    <row r="57" spans="1:17" ht="45" customHeight="1" hidden="1" outlineLevel="3">
      <c r="A57" s="172" t="s">
        <v>88</v>
      </c>
      <c r="B57" s="324"/>
      <c r="C57" s="306" t="s">
        <v>23</v>
      </c>
      <c r="D57" s="168" t="s">
        <v>88</v>
      </c>
      <c r="E57" s="169">
        <v>401120</v>
      </c>
      <c r="F57" s="290">
        <v>401120</v>
      </c>
      <c r="G57" s="295"/>
      <c r="H57" s="293" t="e">
        <f>E57/#REF!</f>
        <v>#REF!</v>
      </c>
      <c r="I57" s="290">
        <v>8300000</v>
      </c>
      <c r="J57" s="290"/>
      <c r="K57" s="290">
        <v>401120</v>
      </c>
      <c r="L57" s="290"/>
      <c r="M57" s="293" t="e">
        <f t="shared" si="3"/>
        <v>#DIV/0!</v>
      </c>
      <c r="N57" s="290"/>
      <c r="O57" s="293">
        <f t="shared" si="0"/>
        <v>0.04832771084337349</v>
      </c>
      <c r="P57" s="326" t="e">
        <f>E57-#REF!</f>
        <v>#REF!</v>
      </c>
      <c r="Q57" s="312"/>
    </row>
    <row r="58" spans="1:17" ht="45" customHeight="1" hidden="1" outlineLevel="4">
      <c r="A58" s="172" t="s">
        <v>89</v>
      </c>
      <c r="B58" s="324"/>
      <c r="C58" s="306" t="s">
        <v>90</v>
      </c>
      <c r="D58" s="168" t="s">
        <v>89</v>
      </c>
      <c r="E58" s="169">
        <v>0</v>
      </c>
      <c r="F58" s="290">
        <v>401120</v>
      </c>
      <c r="G58" s="295"/>
      <c r="H58" s="293" t="e">
        <f>E58/#REF!</f>
        <v>#REF!</v>
      </c>
      <c r="I58" s="290">
        <v>8300000</v>
      </c>
      <c r="J58" s="290"/>
      <c r="K58" s="290">
        <v>401120</v>
      </c>
      <c r="L58" s="290"/>
      <c r="M58" s="293" t="e">
        <f t="shared" si="3"/>
        <v>#DIV/0!</v>
      </c>
      <c r="N58" s="290"/>
      <c r="O58" s="293">
        <f t="shared" si="0"/>
        <v>0.04832771084337349</v>
      </c>
      <c r="P58" s="326" t="e">
        <f>E58-#REF!</f>
        <v>#REF!</v>
      </c>
      <c r="Q58" s="312"/>
    </row>
    <row r="59" spans="1:17" ht="45" customHeight="1" hidden="1" outlineLevel="5">
      <c r="A59" s="172" t="s">
        <v>89</v>
      </c>
      <c r="B59" s="324"/>
      <c r="C59" s="306" t="s">
        <v>91</v>
      </c>
      <c r="D59" s="168" t="s">
        <v>89</v>
      </c>
      <c r="E59" s="169">
        <v>401106.8</v>
      </c>
      <c r="F59" s="290">
        <v>0</v>
      </c>
      <c r="G59" s="295"/>
      <c r="H59" s="293" t="e">
        <f>E59/#REF!</f>
        <v>#REF!</v>
      </c>
      <c r="I59" s="290">
        <v>8300000</v>
      </c>
      <c r="J59" s="290"/>
      <c r="K59" s="290">
        <v>0</v>
      </c>
      <c r="L59" s="290"/>
      <c r="M59" s="293" t="e">
        <f t="shared" si="3"/>
        <v>#DIV/0!</v>
      </c>
      <c r="N59" s="290"/>
      <c r="O59" s="293">
        <f t="shared" si="0"/>
        <v>0</v>
      </c>
      <c r="P59" s="326" t="e">
        <f>E59-#REF!</f>
        <v>#REF!</v>
      </c>
      <c r="Q59" s="312"/>
    </row>
    <row r="60" spans="1:17" ht="45" customHeight="1" hidden="1" outlineLevel="5">
      <c r="A60" s="172" t="s">
        <v>92</v>
      </c>
      <c r="B60" s="324"/>
      <c r="C60" s="306" t="s">
        <v>91</v>
      </c>
      <c r="D60" s="168" t="s">
        <v>92</v>
      </c>
      <c r="E60" s="169">
        <v>13.2</v>
      </c>
      <c r="F60" s="290">
        <v>401106.8</v>
      </c>
      <c r="G60" s="295"/>
      <c r="H60" s="293" t="e">
        <f>E60/#REF!</f>
        <v>#REF!</v>
      </c>
      <c r="I60" s="290">
        <v>0</v>
      </c>
      <c r="J60" s="290"/>
      <c r="K60" s="290">
        <v>401106.8</v>
      </c>
      <c r="L60" s="290"/>
      <c r="M60" s="293" t="e">
        <f t="shared" si="3"/>
        <v>#DIV/0!</v>
      </c>
      <c r="N60" s="290"/>
      <c r="O60" s="293" t="e">
        <f t="shared" si="0"/>
        <v>#DIV/0!</v>
      </c>
      <c r="P60" s="326" t="e">
        <f>E60-#REF!</f>
        <v>#REF!</v>
      </c>
      <c r="Q60" s="312"/>
    </row>
    <row r="61" spans="1:17" ht="45" customHeight="1" hidden="1" outlineLevel="5">
      <c r="A61" s="172" t="s">
        <v>93</v>
      </c>
      <c r="B61" s="324"/>
      <c r="C61" s="306" t="s">
        <v>91</v>
      </c>
      <c r="D61" s="168" t="s">
        <v>93</v>
      </c>
      <c r="E61" s="169">
        <f>E62+E63+E64</f>
        <v>172244710.82</v>
      </c>
      <c r="F61" s="290">
        <v>13.2</v>
      </c>
      <c r="G61" s="295"/>
      <c r="H61" s="293" t="e">
        <f>E61/#REF!</f>
        <v>#REF!</v>
      </c>
      <c r="I61" s="290">
        <v>0</v>
      </c>
      <c r="J61" s="290"/>
      <c r="K61" s="290">
        <v>13.2</v>
      </c>
      <c r="L61" s="290"/>
      <c r="M61" s="293" t="e">
        <f t="shared" si="3"/>
        <v>#DIV/0!</v>
      </c>
      <c r="N61" s="290"/>
      <c r="O61" s="293" t="e">
        <f t="shared" si="0"/>
        <v>#DIV/0!</v>
      </c>
      <c r="P61" s="326" t="e">
        <f>E61-#REF!</f>
        <v>#REF!</v>
      </c>
      <c r="Q61" s="312"/>
    </row>
    <row r="62" spans="1:17" ht="37.5" customHeight="1" outlineLevel="1" collapsed="1">
      <c r="A62" s="172" t="s">
        <v>94</v>
      </c>
      <c r="B62" s="324" t="s">
        <v>95</v>
      </c>
      <c r="C62" s="306" t="s">
        <v>96</v>
      </c>
      <c r="D62" s="168" t="s">
        <v>94</v>
      </c>
      <c r="E62" s="169">
        <f>E63+E64+E65</f>
        <v>95317580.9</v>
      </c>
      <c r="F62" s="290">
        <v>32.4</v>
      </c>
      <c r="G62" s="295">
        <f>F62-E62</f>
        <v>-95317548.5</v>
      </c>
      <c r="H62" s="293">
        <f aca="true" t="shared" si="10" ref="H62:H72">F62/E62</f>
        <v>3.3991630603793467E-07</v>
      </c>
      <c r="I62" s="290">
        <f>I63+I64+I65</f>
        <v>75916097.63</v>
      </c>
      <c r="J62" s="290">
        <f>J63+J64+J65</f>
        <v>3543302</v>
      </c>
      <c r="K62" s="290">
        <v>20.1</v>
      </c>
      <c r="L62" s="290">
        <f>K62-J62</f>
        <v>-3543281.9</v>
      </c>
      <c r="M62" s="293">
        <f t="shared" si="3"/>
        <v>-0.7964545755181691</v>
      </c>
      <c r="N62" s="290">
        <f>N63+N64+N65</f>
        <v>-72613154.62</v>
      </c>
      <c r="O62" s="293">
        <f t="shared" si="0"/>
        <v>2.6476598017410506E-07</v>
      </c>
      <c r="P62" s="326">
        <f aca="true" t="shared" si="11" ref="P62:P72">K62-F62</f>
        <v>-12.299999999999997</v>
      </c>
      <c r="Q62" s="313" t="s">
        <v>267</v>
      </c>
    </row>
    <row r="63" spans="1:17" ht="30" hidden="1" outlineLevel="2">
      <c r="A63" s="172" t="s">
        <v>97</v>
      </c>
      <c r="B63" s="324" t="s">
        <v>98</v>
      </c>
      <c r="C63" s="306" t="s">
        <v>99</v>
      </c>
      <c r="D63" s="168" t="s">
        <v>97</v>
      </c>
      <c r="E63" s="169">
        <v>14947482.35</v>
      </c>
      <c r="F63" s="290">
        <v>1282769.72</v>
      </c>
      <c r="G63" s="295">
        <f>F63-E63</f>
        <v>-13664712.629999999</v>
      </c>
      <c r="H63" s="293">
        <f t="shared" si="10"/>
        <v>0.08581844687710904</v>
      </c>
      <c r="I63" s="290">
        <v>11900000</v>
      </c>
      <c r="J63" s="290">
        <v>80000</v>
      </c>
      <c r="K63" s="290">
        <f>1402793.66+1400+26906.16+2710.46</f>
        <v>1433810.2799999998</v>
      </c>
      <c r="L63" s="290">
        <f>K63-J63</f>
        <v>1353810.2799999998</v>
      </c>
      <c r="M63" s="293">
        <f t="shared" si="3"/>
        <v>-0.8708562208527031</v>
      </c>
      <c r="N63" s="290">
        <f>K63-I63</f>
        <v>-10466189.72</v>
      </c>
      <c r="O63" s="293">
        <f t="shared" si="0"/>
        <v>0.1204882588235294</v>
      </c>
      <c r="P63" s="326">
        <f t="shared" si="11"/>
        <v>151040.55999999982</v>
      </c>
      <c r="Q63" s="315"/>
    </row>
    <row r="64" spans="1:17" s="272" customFormat="1" ht="42" customHeight="1" outlineLevel="4">
      <c r="A64" s="269" t="s">
        <v>100</v>
      </c>
      <c r="B64" s="327"/>
      <c r="C64" s="307" t="s">
        <v>276</v>
      </c>
      <c r="D64" s="270" t="s">
        <v>100</v>
      </c>
      <c r="E64" s="271">
        <v>61979647.57</v>
      </c>
      <c r="F64" s="296">
        <v>29.7</v>
      </c>
      <c r="G64" s="297">
        <f>F64-E64</f>
        <v>-61979617.87</v>
      </c>
      <c r="H64" s="298">
        <f t="shared" si="10"/>
        <v>4.791895592251752E-07</v>
      </c>
      <c r="I64" s="296">
        <v>47016097.63</v>
      </c>
      <c r="J64" s="296">
        <v>3011857</v>
      </c>
      <c r="K64" s="296">
        <v>15.7</v>
      </c>
      <c r="L64" s="296">
        <f>K64-J64</f>
        <v>-3011841.3</v>
      </c>
      <c r="M64" s="298">
        <f t="shared" si="3"/>
        <v>-0.7585735318442034</v>
      </c>
      <c r="N64" s="296">
        <f>K64-I64</f>
        <v>-47016081.93</v>
      </c>
      <c r="O64" s="298">
        <f t="shared" si="0"/>
        <v>3.3392818186556925E-07</v>
      </c>
      <c r="P64" s="328">
        <f t="shared" si="11"/>
        <v>-14</v>
      </c>
      <c r="Q64" s="316"/>
    </row>
    <row r="65" spans="1:17" ht="56.25" customHeight="1" hidden="1" outlineLevel="4">
      <c r="A65" s="172" t="s">
        <v>103</v>
      </c>
      <c r="B65" s="324" t="s">
        <v>104</v>
      </c>
      <c r="C65" s="306" t="s">
        <v>105</v>
      </c>
      <c r="D65" s="168" t="s">
        <v>103</v>
      </c>
      <c r="E65" s="169">
        <v>18390450.98</v>
      </c>
      <c r="F65" s="290">
        <v>1056495.99</v>
      </c>
      <c r="G65" s="295">
        <f>F65-E65</f>
        <v>-17333954.990000002</v>
      </c>
      <c r="H65" s="293">
        <f t="shared" si="10"/>
        <v>0.05744807406566383</v>
      </c>
      <c r="I65" s="290">
        <v>17000000</v>
      </c>
      <c r="J65" s="290">
        <v>451445</v>
      </c>
      <c r="K65" s="290">
        <f>1834144.92+462+31169.11+3341</f>
        <v>1869117.03</v>
      </c>
      <c r="L65" s="290">
        <f>K65-J65</f>
        <v>1417672.03</v>
      </c>
      <c r="M65" s="293">
        <f t="shared" si="3"/>
        <v>-0.9807340569308816</v>
      </c>
      <c r="N65" s="290">
        <f>K65-I65</f>
        <v>-15130882.97</v>
      </c>
      <c r="O65" s="293">
        <f t="shared" si="0"/>
        <v>0.1099480605882353</v>
      </c>
      <c r="P65" s="326">
        <f t="shared" si="11"/>
        <v>812621.04</v>
      </c>
      <c r="Q65" s="315"/>
    </row>
    <row r="66" spans="1:17" ht="38.25" customHeight="1" outlineLevel="1" collapsed="1" thickBot="1">
      <c r="A66" s="172" t="s">
        <v>106</v>
      </c>
      <c r="B66" s="324" t="s">
        <v>107</v>
      </c>
      <c r="C66" s="306" t="s">
        <v>108</v>
      </c>
      <c r="D66" s="168" t="s">
        <v>106</v>
      </c>
      <c r="E66" s="169">
        <f>E67+E72</f>
        <v>10536108.33</v>
      </c>
      <c r="F66" s="290">
        <v>5.1</v>
      </c>
      <c r="G66" s="295">
        <f>G67+G72</f>
        <v>-7015250.970000001</v>
      </c>
      <c r="H66" s="293">
        <f t="shared" si="10"/>
        <v>4.840496927578572E-07</v>
      </c>
      <c r="I66" s="290">
        <f>I67+I72</f>
        <v>11535000</v>
      </c>
      <c r="J66" s="290">
        <f>J67+J72</f>
        <v>605206</v>
      </c>
      <c r="K66" s="290">
        <v>5.4</v>
      </c>
      <c r="L66" s="290">
        <f>K66-J66</f>
        <v>-605200.6</v>
      </c>
      <c r="M66" s="293">
        <f t="shared" si="3"/>
        <v>-1.644274745027404</v>
      </c>
      <c r="N66" s="290">
        <f>N67+N72</f>
        <v>-8272288.6899999995</v>
      </c>
      <c r="O66" s="293">
        <f t="shared" si="0"/>
        <v>4.681404421326398E-07</v>
      </c>
      <c r="P66" s="326">
        <f t="shared" si="11"/>
        <v>0.3000000000000007</v>
      </c>
      <c r="Q66" s="312"/>
    </row>
    <row r="67" spans="1:17" ht="91.5" customHeight="1" hidden="1" outlineLevel="2">
      <c r="A67" s="172" t="s">
        <v>109</v>
      </c>
      <c r="B67" s="324" t="s">
        <v>110</v>
      </c>
      <c r="C67" s="306" t="s">
        <v>111</v>
      </c>
      <c r="D67" s="168" t="s">
        <v>109</v>
      </c>
      <c r="E67" s="169">
        <v>10431108.33</v>
      </c>
      <c r="F67" s="250">
        <v>3490857.36</v>
      </c>
      <c r="G67" s="252">
        <f aca="true" t="shared" si="12" ref="G67:G72">F67-E67</f>
        <v>-6940250.970000001</v>
      </c>
      <c r="H67" s="251">
        <f t="shared" si="10"/>
        <v>0.3346583363495756</v>
      </c>
      <c r="I67" s="250">
        <v>11500000</v>
      </c>
      <c r="J67" s="250">
        <v>605206</v>
      </c>
      <c r="K67" s="250">
        <f>3160101.37+24585.7+44853.75+33170.49</f>
        <v>3262711.3100000005</v>
      </c>
      <c r="L67" s="250">
        <f>K67-J67</f>
        <v>2657505.3100000005</v>
      </c>
      <c r="M67" s="251">
        <f t="shared" si="3"/>
        <v>-1.6570005969106905</v>
      </c>
      <c r="N67" s="250">
        <f aca="true" t="shared" si="13" ref="N67:N72">K67-I67</f>
        <v>-8237288.6899999995</v>
      </c>
      <c r="O67" s="251">
        <f t="shared" si="0"/>
        <v>0.28371402695652176</v>
      </c>
      <c r="P67" s="329">
        <f t="shared" si="11"/>
        <v>-228146.04999999935</v>
      </c>
      <c r="Q67" s="312"/>
    </row>
    <row r="68" spans="1:17" ht="45" customHeight="1" hidden="1" outlineLevel="3">
      <c r="A68" s="172" t="s">
        <v>112</v>
      </c>
      <c r="B68" s="324"/>
      <c r="C68" s="306" t="s">
        <v>23</v>
      </c>
      <c r="D68" s="168" t="s">
        <v>112</v>
      </c>
      <c r="E68" s="169"/>
      <c r="F68" s="250"/>
      <c r="G68" s="252">
        <f t="shared" si="12"/>
        <v>0</v>
      </c>
      <c r="H68" s="251" t="e">
        <f t="shared" si="10"/>
        <v>#DIV/0!</v>
      </c>
      <c r="I68" s="250"/>
      <c r="J68" s="250"/>
      <c r="K68" s="250"/>
      <c r="L68" s="250">
        <f>I68-G68</f>
        <v>0</v>
      </c>
      <c r="M68" s="251" t="e">
        <f t="shared" si="3"/>
        <v>#DIV/0!</v>
      </c>
      <c r="N68" s="250">
        <f t="shared" si="13"/>
        <v>0</v>
      </c>
      <c r="O68" s="251" t="e">
        <f t="shared" si="0"/>
        <v>#DIV/0!</v>
      </c>
      <c r="P68" s="329">
        <f t="shared" si="11"/>
        <v>0</v>
      </c>
      <c r="Q68" s="312"/>
    </row>
    <row r="69" spans="1:17" ht="45" customHeight="1" hidden="1" outlineLevel="4">
      <c r="A69" s="172" t="s">
        <v>113</v>
      </c>
      <c r="B69" s="324"/>
      <c r="C69" s="306" t="s">
        <v>114</v>
      </c>
      <c r="D69" s="168" t="s">
        <v>113</v>
      </c>
      <c r="E69" s="169"/>
      <c r="F69" s="250"/>
      <c r="G69" s="252">
        <f t="shared" si="12"/>
        <v>0</v>
      </c>
      <c r="H69" s="251" t="e">
        <f t="shared" si="10"/>
        <v>#DIV/0!</v>
      </c>
      <c r="I69" s="250"/>
      <c r="J69" s="250"/>
      <c r="K69" s="250"/>
      <c r="L69" s="250">
        <f>I69-G69</f>
        <v>0</v>
      </c>
      <c r="M69" s="251" t="e">
        <f t="shared" si="3"/>
        <v>#DIV/0!</v>
      </c>
      <c r="N69" s="250">
        <f t="shared" si="13"/>
        <v>0</v>
      </c>
      <c r="O69" s="251" t="e">
        <f t="shared" si="0"/>
        <v>#DIV/0!</v>
      </c>
      <c r="P69" s="329">
        <f t="shared" si="11"/>
        <v>0</v>
      </c>
      <c r="Q69" s="312"/>
    </row>
    <row r="70" spans="1:17" ht="45" customHeight="1" hidden="1" outlineLevel="5">
      <c r="A70" s="172" t="s">
        <v>113</v>
      </c>
      <c r="B70" s="324"/>
      <c r="C70" s="306" t="s">
        <v>115</v>
      </c>
      <c r="D70" s="168" t="s">
        <v>113</v>
      </c>
      <c r="E70" s="169"/>
      <c r="F70" s="250"/>
      <c r="G70" s="252">
        <f t="shared" si="12"/>
        <v>0</v>
      </c>
      <c r="H70" s="251" t="e">
        <f t="shared" si="10"/>
        <v>#DIV/0!</v>
      </c>
      <c r="I70" s="250"/>
      <c r="J70" s="250"/>
      <c r="K70" s="250"/>
      <c r="L70" s="250">
        <f>I70-G70</f>
        <v>0</v>
      </c>
      <c r="M70" s="251" t="e">
        <f t="shared" si="3"/>
        <v>#DIV/0!</v>
      </c>
      <c r="N70" s="250">
        <f t="shared" si="13"/>
        <v>0</v>
      </c>
      <c r="O70" s="251" t="e">
        <f t="shared" si="0"/>
        <v>#DIV/0!</v>
      </c>
      <c r="P70" s="329">
        <f t="shared" si="11"/>
        <v>0</v>
      </c>
      <c r="Q70" s="312"/>
    </row>
    <row r="71" spans="1:17" ht="45" customHeight="1" hidden="1" outlineLevel="5">
      <c r="A71" s="172" t="s">
        <v>116</v>
      </c>
      <c r="B71" s="324"/>
      <c r="C71" s="306" t="s">
        <v>117</v>
      </c>
      <c r="D71" s="168" t="s">
        <v>116</v>
      </c>
      <c r="E71" s="169"/>
      <c r="F71" s="250"/>
      <c r="G71" s="252">
        <f t="shared" si="12"/>
        <v>0</v>
      </c>
      <c r="H71" s="251" t="e">
        <f t="shared" si="10"/>
        <v>#DIV/0!</v>
      </c>
      <c r="I71" s="250"/>
      <c r="J71" s="250"/>
      <c r="K71" s="250"/>
      <c r="L71" s="250">
        <f>I71-G71</f>
        <v>0</v>
      </c>
      <c r="M71" s="251" t="e">
        <f t="shared" si="3"/>
        <v>#DIV/0!</v>
      </c>
      <c r="N71" s="250">
        <f t="shared" si="13"/>
        <v>0</v>
      </c>
      <c r="O71" s="251" t="e">
        <f t="shared" si="0"/>
        <v>#DIV/0!</v>
      </c>
      <c r="P71" s="329">
        <f t="shared" si="11"/>
        <v>0</v>
      </c>
      <c r="Q71" s="312"/>
    </row>
    <row r="72" spans="1:17" ht="78.75" customHeight="1" hidden="1" outlineLevel="2" collapsed="1">
      <c r="A72" s="172" t="s">
        <v>118</v>
      </c>
      <c r="B72" s="324" t="s">
        <v>119</v>
      </c>
      <c r="C72" s="306" t="s">
        <v>120</v>
      </c>
      <c r="D72" s="168" t="s">
        <v>118</v>
      </c>
      <c r="E72" s="170">
        <v>105000</v>
      </c>
      <c r="F72" s="252">
        <v>30000</v>
      </c>
      <c r="G72" s="252">
        <f t="shared" si="12"/>
        <v>-75000</v>
      </c>
      <c r="H72" s="251">
        <f t="shared" si="10"/>
        <v>0.2857142857142857</v>
      </c>
      <c r="I72" s="250">
        <v>35000</v>
      </c>
      <c r="J72" s="250"/>
      <c r="K72" s="252"/>
      <c r="L72" s="250">
        <f>K72-J72</f>
        <v>0</v>
      </c>
      <c r="M72" s="251">
        <f t="shared" si="3"/>
        <v>-0.4666666666666667</v>
      </c>
      <c r="N72" s="250">
        <f t="shared" si="13"/>
        <v>-35000</v>
      </c>
      <c r="O72" s="251">
        <f t="shared" si="0"/>
        <v>0</v>
      </c>
      <c r="P72" s="329">
        <f t="shared" si="11"/>
        <v>-30000</v>
      </c>
      <c r="Q72" s="315"/>
    </row>
    <row r="73" spans="1:17" ht="45" customHeight="1" hidden="1" outlineLevel="3">
      <c r="A73" s="172" t="s">
        <v>121</v>
      </c>
      <c r="B73" s="324"/>
      <c r="C73" s="306" t="s">
        <v>23</v>
      </c>
      <c r="D73" s="168" t="s">
        <v>121</v>
      </c>
      <c r="E73" s="169">
        <v>0</v>
      </c>
      <c r="F73" s="250">
        <v>0</v>
      </c>
      <c r="G73" s="252"/>
      <c r="H73" s="251" t="e">
        <f>E73/#REF!</f>
        <v>#REF!</v>
      </c>
      <c r="I73" s="250">
        <v>60000</v>
      </c>
      <c r="J73" s="250"/>
      <c r="K73" s="250">
        <v>0</v>
      </c>
      <c r="L73" s="250"/>
      <c r="M73" s="251" t="e">
        <f t="shared" si="3"/>
        <v>#DIV/0!</v>
      </c>
      <c r="N73" s="250"/>
      <c r="O73" s="251">
        <f t="shared" si="0"/>
        <v>0</v>
      </c>
      <c r="P73" s="329" t="e">
        <f>E73-#REF!</f>
        <v>#REF!</v>
      </c>
      <c r="Q73" s="312"/>
    </row>
    <row r="74" spans="1:17" ht="45" customHeight="1" hidden="1" outlineLevel="4">
      <c r="A74" s="172" t="s">
        <v>122</v>
      </c>
      <c r="B74" s="324"/>
      <c r="C74" s="306" t="s">
        <v>123</v>
      </c>
      <c r="D74" s="168" t="s">
        <v>122</v>
      </c>
      <c r="E74" s="169">
        <v>0</v>
      </c>
      <c r="F74" s="250">
        <v>0</v>
      </c>
      <c r="G74" s="252"/>
      <c r="H74" s="251" t="e">
        <f>E74/#REF!</f>
        <v>#REF!</v>
      </c>
      <c r="I74" s="250">
        <v>60000</v>
      </c>
      <c r="J74" s="250"/>
      <c r="K74" s="250">
        <v>0</v>
      </c>
      <c r="L74" s="250"/>
      <c r="M74" s="251" t="e">
        <f t="shared" si="3"/>
        <v>#DIV/0!</v>
      </c>
      <c r="N74" s="250"/>
      <c r="O74" s="251">
        <f t="shared" si="0"/>
        <v>0</v>
      </c>
      <c r="P74" s="329" t="e">
        <f>E74-#REF!</f>
        <v>#REF!</v>
      </c>
      <c r="Q74" s="312"/>
    </row>
    <row r="75" spans="1:17" ht="45" customHeight="1" hidden="1" outlineLevel="5">
      <c r="A75" s="172" t="s">
        <v>122</v>
      </c>
      <c r="B75" s="324"/>
      <c r="C75" s="306" t="s">
        <v>124</v>
      </c>
      <c r="D75" s="168" t="s">
        <v>122</v>
      </c>
      <c r="E75" s="169">
        <v>-23389.69</v>
      </c>
      <c r="F75" s="250">
        <v>0</v>
      </c>
      <c r="G75" s="252"/>
      <c r="H75" s="251" t="e">
        <f>E75/#REF!</f>
        <v>#REF!</v>
      </c>
      <c r="I75" s="250">
        <v>60000</v>
      </c>
      <c r="J75" s="250"/>
      <c r="K75" s="250">
        <v>0</v>
      </c>
      <c r="L75" s="250"/>
      <c r="M75" s="251" t="e">
        <f t="shared" si="3"/>
        <v>#DIV/0!</v>
      </c>
      <c r="N75" s="250"/>
      <c r="O75" s="251">
        <f t="shared" si="0"/>
        <v>0</v>
      </c>
      <c r="P75" s="329" t="e">
        <f>E75-#REF!</f>
        <v>#REF!</v>
      </c>
      <c r="Q75" s="312"/>
    </row>
    <row r="76" spans="1:17" ht="83.25" customHeight="1" hidden="1" outlineLevel="1" collapsed="1">
      <c r="A76" s="172" t="s">
        <v>125</v>
      </c>
      <c r="B76" s="324" t="s">
        <v>126</v>
      </c>
      <c r="C76" s="306" t="s">
        <v>127</v>
      </c>
      <c r="D76" s="168" t="s">
        <v>125</v>
      </c>
      <c r="E76" s="169">
        <v>-23389.69</v>
      </c>
      <c r="F76" s="250">
        <v>3014.2</v>
      </c>
      <c r="G76" s="252">
        <f>F76-E76</f>
        <v>26403.89</v>
      </c>
      <c r="H76" s="251">
        <f>F76/E76</f>
        <v>-0.12886874516079522</v>
      </c>
      <c r="I76" s="250"/>
      <c r="J76" s="250"/>
      <c r="K76" s="250">
        <v>942.29</v>
      </c>
      <c r="L76" s="250">
        <f>K76-J76</f>
        <v>942.29</v>
      </c>
      <c r="M76" s="251"/>
      <c r="N76" s="250"/>
      <c r="O76" s="251"/>
      <c r="P76" s="329">
        <f>K76-F76</f>
        <v>-2071.91</v>
      </c>
      <c r="Q76" s="312"/>
    </row>
    <row r="77" spans="1:17" ht="45" customHeight="1" hidden="1" outlineLevel="3">
      <c r="A77" s="172" t="s">
        <v>128</v>
      </c>
      <c r="B77" s="324"/>
      <c r="C77" s="306" t="s">
        <v>23</v>
      </c>
      <c r="D77" s="168" t="s">
        <v>128</v>
      </c>
      <c r="E77" s="169">
        <v>78.92</v>
      </c>
      <c r="F77" s="250">
        <v>78.92</v>
      </c>
      <c r="G77" s="252"/>
      <c r="H77" s="251" t="e">
        <f>E77/#REF!</f>
        <v>#REF!</v>
      </c>
      <c r="I77" s="250">
        <v>0</v>
      </c>
      <c r="J77" s="250"/>
      <c r="K77" s="250">
        <v>78.92</v>
      </c>
      <c r="L77" s="250"/>
      <c r="M77" s="251" t="e">
        <f>I77/G77</f>
        <v>#DIV/0!</v>
      </c>
      <c r="N77" s="250"/>
      <c r="O77" s="251" t="e">
        <f t="shared" si="0"/>
        <v>#DIV/0!</v>
      </c>
      <c r="P77" s="329" t="e">
        <f>E77-#REF!</f>
        <v>#REF!</v>
      </c>
      <c r="Q77" s="312"/>
    </row>
    <row r="78" spans="1:17" ht="45" customHeight="1" hidden="1" outlineLevel="4">
      <c r="A78" s="172" t="s">
        <v>129</v>
      </c>
      <c r="B78" s="324"/>
      <c r="C78" s="306" t="s">
        <v>130</v>
      </c>
      <c r="D78" s="168" t="s">
        <v>129</v>
      </c>
      <c r="E78" s="169">
        <v>78.92</v>
      </c>
      <c r="F78" s="250">
        <v>78.92</v>
      </c>
      <c r="G78" s="252"/>
      <c r="H78" s="251" t="e">
        <f>E78/#REF!</f>
        <v>#REF!</v>
      </c>
      <c r="I78" s="250">
        <v>0</v>
      </c>
      <c r="J78" s="250"/>
      <c r="K78" s="250">
        <v>78.92</v>
      </c>
      <c r="L78" s="250"/>
      <c r="M78" s="251" t="e">
        <f>I78/G78</f>
        <v>#DIV/0!</v>
      </c>
      <c r="N78" s="250"/>
      <c r="O78" s="251" t="e">
        <f t="shared" si="0"/>
        <v>#DIV/0!</v>
      </c>
      <c r="P78" s="329" t="e">
        <f>E78-#REF!</f>
        <v>#REF!</v>
      </c>
      <c r="Q78" s="312"/>
    </row>
    <row r="79" spans="1:17" ht="45" customHeight="1" hidden="1" outlineLevel="5">
      <c r="A79" s="172" t="s">
        <v>131</v>
      </c>
      <c r="B79" s="330"/>
      <c r="C79" s="308" t="s">
        <v>132</v>
      </c>
      <c r="D79" s="180" t="s">
        <v>131</v>
      </c>
      <c r="E79" s="181">
        <f>E80+E89+E105+E108+E111+E112</f>
        <v>106887173.90000002</v>
      </c>
      <c r="F79" s="256">
        <v>78.92</v>
      </c>
      <c r="G79" s="257"/>
      <c r="H79" s="258" t="e">
        <f>E79/#REF!</f>
        <v>#REF!</v>
      </c>
      <c r="I79" s="256">
        <v>0</v>
      </c>
      <c r="J79" s="256"/>
      <c r="K79" s="256">
        <v>78.92</v>
      </c>
      <c r="L79" s="256"/>
      <c r="M79" s="258" t="e">
        <f>I79/G79</f>
        <v>#DIV/0!</v>
      </c>
      <c r="N79" s="256"/>
      <c r="O79" s="258" t="e">
        <f>K79/I79</f>
        <v>#DIV/0!</v>
      </c>
      <c r="P79" s="331" t="e">
        <f>E79-#REF!</f>
        <v>#REF!</v>
      </c>
      <c r="Q79" s="312"/>
    </row>
    <row r="80" spans="1:17" s="254" customFormat="1" ht="39" customHeight="1" outlineLevel="5" thickBot="1">
      <c r="A80" s="253"/>
      <c r="B80" s="301" t="s">
        <v>133</v>
      </c>
      <c r="C80" s="302" t="s">
        <v>279</v>
      </c>
      <c r="D80" s="260"/>
      <c r="E80" s="261">
        <f>E81+E90+E106+E109+E112+E113</f>
        <v>73494552.89</v>
      </c>
      <c r="F80" s="262">
        <v>31.1</v>
      </c>
      <c r="G80" s="262">
        <f>G81+G90+G106+G109+G112+G113</f>
        <v>-52023864.449999996</v>
      </c>
      <c r="H80" s="262">
        <f>F80/E80</f>
        <v>4.2316061227758835E-07</v>
      </c>
      <c r="I80" s="262">
        <f>I81+I90+I106+I109+I112+I113</f>
        <v>61350184.11</v>
      </c>
      <c r="J80" s="262">
        <f>J81+J90+J106+J109+J112+J113</f>
        <v>2230316.48</v>
      </c>
      <c r="K80" s="262">
        <f>75.8-3.2-18.4</f>
        <v>54.199999999999996</v>
      </c>
      <c r="L80" s="262">
        <f>K80-J80</f>
        <v>-2230262.28</v>
      </c>
      <c r="M80" s="262" t="e">
        <f>M81+M90+M106+M109+M112+M113</f>
        <v>#DIV/0!</v>
      </c>
      <c r="N80" s="262">
        <f>N81+N90+N106+N109+N112+N113</f>
        <v>-37852404.61</v>
      </c>
      <c r="O80" s="263">
        <f aca="true" t="shared" si="14" ref="O80:O127">K80/I80</f>
        <v>8.834529314992792E-07</v>
      </c>
      <c r="P80" s="264">
        <f>K80-F80</f>
        <v>23.099999999999994</v>
      </c>
      <c r="Q80" s="255"/>
    </row>
    <row r="81" spans="1:17" ht="61.5" customHeight="1" outlineLevel="1">
      <c r="A81" s="172" t="s">
        <v>135</v>
      </c>
      <c r="B81" s="321" t="s">
        <v>136</v>
      </c>
      <c r="C81" s="305" t="s">
        <v>290</v>
      </c>
      <c r="D81" s="192" t="s">
        <v>135</v>
      </c>
      <c r="E81" s="193">
        <f>E82+E83+E84+E85+E89</f>
        <v>37416244.75</v>
      </c>
      <c r="F81" s="248">
        <v>16</v>
      </c>
      <c r="G81" s="259">
        <f>G82+G83+G85+G89</f>
        <v>-27350627.259999998</v>
      </c>
      <c r="H81" s="249">
        <f>F81/E81</f>
        <v>4.2762174843855756E-07</v>
      </c>
      <c r="I81" s="248">
        <f>I82+I83+I84+I85+I89</f>
        <v>26290475.19</v>
      </c>
      <c r="J81" s="248">
        <f>J82+J83+J84+J85+J89</f>
        <v>859800</v>
      </c>
      <c r="K81" s="248">
        <v>11.9</v>
      </c>
      <c r="L81" s="248">
        <f>K81-J81</f>
        <v>-859788.1</v>
      </c>
      <c r="M81" s="249">
        <f>I81/G81</f>
        <v>-0.9612384732561341</v>
      </c>
      <c r="N81" s="248">
        <f>N82+N83+N84+N85+N89</f>
        <v>-17627526.57</v>
      </c>
      <c r="O81" s="249">
        <f t="shared" si="14"/>
        <v>4.5263540936401006E-07</v>
      </c>
      <c r="P81" s="332">
        <f>K81-F81</f>
        <v>-4.1</v>
      </c>
      <c r="Q81" s="312"/>
    </row>
    <row r="82" spans="1:17" ht="47.25" customHeight="1" hidden="1" outlineLevel="4">
      <c r="A82" s="172" t="s">
        <v>138</v>
      </c>
      <c r="B82" s="324" t="s">
        <v>139</v>
      </c>
      <c r="C82" s="306" t="s">
        <v>140</v>
      </c>
      <c r="D82" s="168" t="s">
        <v>138</v>
      </c>
      <c r="E82" s="169">
        <v>24363527.29</v>
      </c>
      <c r="F82" s="250">
        <v>4787239.41</v>
      </c>
      <c r="G82" s="252">
        <f>F82-E82</f>
        <v>-19576287.88</v>
      </c>
      <c r="H82" s="251">
        <f>F82/E82</f>
        <v>0.19649204948927576</v>
      </c>
      <c r="I82" s="250">
        <v>15000000</v>
      </c>
      <c r="J82" s="250">
        <v>350000</v>
      </c>
      <c r="K82" s="250">
        <f>4116186.7+264361.92+6513.27</f>
        <v>4387061.89</v>
      </c>
      <c r="L82" s="250">
        <f>K82-J82</f>
        <v>4037061.8899999997</v>
      </c>
      <c r="M82" s="251">
        <f>I82/G82</f>
        <v>-0.7662331128326256</v>
      </c>
      <c r="N82" s="250">
        <f>K82-I82</f>
        <v>-10612938.11</v>
      </c>
      <c r="O82" s="251">
        <f t="shared" si="14"/>
        <v>0.29247079266666665</v>
      </c>
      <c r="P82" s="329">
        <f>K82-F82</f>
        <v>-400177.5200000005</v>
      </c>
      <c r="Q82" s="315" t="s">
        <v>268</v>
      </c>
    </row>
    <row r="83" spans="1:17" ht="47.25" customHeight="1" hidden="1" outlineLevel="4">
      <c r="A83" s="172" t="s">
        <v>141</v>
      </c>
      <c r="B83" s="324" t="s">
        <v>142</v>
      </c>
      <c r="C83" s="306" t="s">
        <v>143</v>
      </c>
      <c r="D83" s="168" t="s">
        <v>141</v>
      </c>
      <c r="E83" s="169">
        <v>977974.72</v>
      </c>
      <c r="F83" s="250">
        <v>316570.81</v>
      </c>
      <c r="G83" s="252">
        <f aca="true" t="shared" si="15" ref="G83:G89">F83-E83</f>
        <v>-661403.9099999999</v>
      </c>
      <c r="H83" s="251">
        <f aca="true" t="shared" si="16" ref="H83:H89">F83/E83</f>
        <v>0.323700401989941</v>
      </c>
      <c r="I83" s="250">
        <v>987235.05</v>
      </c>
      <c r="J83" s="250">
        <v>109800</v>
      </c>
      <c r="K83" s="250">
        <v>361646.44</v>
      </c>
      <c r="L83" s="250">
        <f aca="true" t="shared" si="17" ref="L83:L89">K83-J83</f>
        <v>251846.44</v>
      </c>
      <c r="M83" s="251">
        <f>I83/G83</f>
        <v>-1.4926356422658587</v>
      </c>
      <c r="N83" s="250">
        <f aca="true" t="shared" si="18" ref="N83:N89">K83-I83</f>
        <v>-625588.6100000001</v>
      </c>
      <c r="O83" s="251">
        <f t="shared" si="14"/>
        <v>0.36632252876354016</v>
      </c>
      <c r="P83" s="329">
        <f aca="true" t="shared" si="19" ref="P83:P89">K83-F83</f>
        <v>45075.630000000005</v>
      </c>
      <c r="Q83" s="315"/>
    </row>
    <row r="84" spans="1:17" ht="47.25" customHeight="1" hidden="1" outlineLevel="4">
      <c r="A84" s="172"/>
      <c r="B84" s="324" t="s">
        <v>144</v>
      </c>
      <c r="C84" s="306" t="s">
        <v>145</v>
      </c>
      <c r="D84" s="168" t="s">
        <v>146</v>
      </c>
      <c r="E84" s="169">
        <v>58480.28</v>
      </c>
      <c r="F84" s="250">
        <v>29240.14</v>
      </c>
      <c r="G84" s="252">
        <f t="shared" si="15"/>
        <v>-29240.14</v>
      </c>
      <c r="H84" s="251">
        <f t="shared" si="16"/>
        <v>0.5</v>
      </c>
      <c r="I84" s="250">
        <v>29240.14</v>
      </c>
      <c r="J84" s="250"/>
      <c r="K84" s="250">
        <v>27691.96</v>
      </c>
      <c r="L84" s="250">
        <f t="shared" si="17"/>
        <v>27691.96</v>
      </c>
      <c r="M84" s="251"/>
      <c r="N84" s="250">
        <f t="shared" si="18"/>
        <v>-1548.1800000000003</v>
      </c>
      <c r="O84" s="251"/>
      <c r="P84" s="329"/>
      <c r="Q84" s="317" t="s">
        <v>147</v>
      </c>
    </row>
    <row r="85" spans="1:17" ht="47.25" customHeight="1" hidden="1" outlineLevel="2">
      <c r="A85" s="172" t="s">
        <v>148</v>
      </c>
      <c r="B85" s="324" t="s">
        <v>149</v>
      </c>
      <c r="C85" s="306" t="s">
        <v>150</v>
      </c>
      <c r="D85" s="168" t="s">
        <v>148</v>
      </c>
      <c r="E85" s="170">
        <v>5843542.64</v>
      </c>
      <c r="F85" s="252">
        <v>2796000</v>
      </c>
      <c r="G85" s="252">
        <f t="shared" si="15"/>
        <v>-3047542.6399999997</v>
      </c>
      <c r="H85" s="251">
        <f t="shared" si="16"/>
        <v>0.47847687135213585</v>
      </c>
      <c r="I85" s="250">
        <v>4966000</v>
      </c>
      <c r="J85" s="250"/>
      <c r="K85" s="252">
        <v>2072500</v>
      </c>
      <c r="L85" s="250">
        <f t="shared" si="17"/>
        <v>2072500</v>
      </c>
      <c r="M85" s="251">
        <f aca="true" t="shared" si="20" ref="M85:M112">I85/G85</f>
        <v>-1.6295096038426555</v>
      </c>
      <c r="N85" s="250">
        <f t="shared" si="18"/>
        <v>-2893500</v>
      </c>
      <c r="O85" s="251">
        <f t="shared" si="14"/>
        <v>0.41733789770438984</v>
      </c>
      <c r="P85" s="329">
        <f t="shared" si="19"/>
        <v>-723500</v>
      </c>
      <c r="Q85" s="315" t="s">
        <v>257</v>
      </c>
    </row>
    <row r="86" spans="1:17" ht="45" customHeight="1" hidden="1" outlineLevel="3">
      <c r="A86" s="172" t="s">
        <v>151</v>
      </c>
      <c r="B86" s="324"/>
      <c r="C86" s="306" t="s">
        <v>23</v>
      </c>
      <c r="D86" s="168" t="s">
        <v>151</v>
      </c>
      <c r="E86" s="169"/>
      <c r="F86" s="250"/>
      <c r="G86" s="252">
        <f t="shared" si="15"/>
        <v>0</v>
      </c>
      <c r="H86" s="251" t="e">
        <f t="shared" si="16"/>
        <v>#DIV/0!</v>
      </c>
      <c r="I86" s="250"/>
      <c r="J86" s="250"/>
      <c r="K86" s="250"/>
      <c r="L86" s="250">
        <f t="shared" si="17"/>
        <v>0</v>
      </c>
      <c r="M86" s="251" t="e">
        <f t="shared" si="20"/>
        <v>#DIV/0!</v>
      </c>
      <c r="N86" s="250">
        <f t="shared" si="18"/>
        <v>0</v>
      </c>
      <c r="O86" s="251" t="e">
        <f t="shared" si="14"/>
        <v>#DIV/0!</v>
      </c>
      <c r="P86" s="329">
        <f t="shared" si="19"/>
        <v>0</v>
      </c>
      <c r="Q86" s="312"/>
    </row>
    <row r="87" spans="1:17" ht="45" customHeight="1" hidden="1" outlineLevel="4">
      <c r="A87" s="172" t="s">
        <v>152</v>
      </c>
      <c r="B87" s="324"/>
      <c r="C87" s="306" t="s">
        <v>153</v>
      </c>
      <c r="D87" s="168" t="s">
        <v>152</v>
      </c>
      <c r="E87" s="169"/>
      <c r="F87" s="250"/>
      <c r="G87" s="252">
        <f t="shared" si="15"/>
        <v>0</v>
      </c>
      <c r="H87" s="251" t="e">
        <f t="shared" si="16"/>
        <v>#DIV/0!</v>
      </c>
      <c r="I87" s="250"/>
      <c r="J87" s="250"/>
      <c r="K87" s="250"/>
      <c r="L87" s="250">
        <f t="shared" si="17"/>
        <v>0</v>
      </c>
      <c r="M87" s="251" t="e">
        <f t="shared" si="20"/>
        <v>#DIV/0!</v>
      </c>
      <c r="N87" s="250">
        <f t="shared" si="18"/>
        <v>0</v>
      </c>
      <c r="O87" s="251" t="e">
        <f t="shared" si="14"/>
        <v>#DIV/0!</v>
      </c>
      <c r="P87" s="329">
        <f t="shared" si="19"/>
        <v>0</v>
      </c>
      <c r="Q87" s="312"/>
    </row>
    <row r="88" spans="1:17" ht="45" customHeight="1" hidden="1" outlineLevel="5">
      <c r="A88" s="172" t="s">
        <v>152</v>
      </c>
      <c r="B88" s="324"/>
      <c r="C88" s="306" t="s">
        <v>154</v>
      </c>
      <c r="D88" s="168" t="s">
        <v>152</v>
      </c>
      <c r="E88" s="169"/>
      <c r="F88" s="250"/>
      <c r="G88" s="252">
        <f t="shared" si="15"/>
        <v>0</v>
      </c>
      <c r="H88" s="251" t="e">
        <f t="shared" si="16"/>
        <v>#DIV/0!</v>
      </c>
      <c r="I88" s="250"/>
      <c r="J88" s="250"/>
      <c r="K88" s="250"/>
      <c r="L88" s="250">
        <f t="shared" si="17"/>
        <v>0</v>
      </c>
      <c r="M88" s="251" t="e">
        <f t="shared" si="20"/>
        <v>#DIV/0!</v>
      </c>
      <c r="N88" s="250">
        <f t="shared" si="18"/>
        <v>0</v>
      </c>
      <c r="O88" s="251" t="e">
        <f t="shared" si="14"/>
        <v>#DIV/0!</v>
      </c>
      <c r="P88" s="329">
        <f t="shared" si="19"/>
        <v>0</v>
      </c>
      <c r="Q88" s="312"/>
    </row>
    <row r="89" spans="1:17" ht="53.25" customHeight="1" hidden="1" outlineLevel="2" collapsed="1">
      <c r="A89" s="172" t="s">
        <v>155</v>
      </c>
      <c r="B89" s="324" t="s">
        <v>156</v>
      </c>
      <c r="C89" s="306" t="s">
        <v>157</v>
      </c>
      <c r="D89" s="168" t="s">
        <v>155</v>
      </c>
      <c r="E89" s="169">
        <v>6172719.82</v>
      </c>
      <c r="F89" s="250">
        <v>2107326.99</v>
      </c>
      <c r="G89" s="252">
        <f t="shared" si="15"/>
        <v>-4065392.83</v>
      </c>
      <c r="H89" s="251">
        <f t="shared" si="16"/>
        <v>0.34139359171497274</v>
      </c>
      <c r="I89" s="250">
        <v>5308000</v>
      </c>
      <c r="J89" s="250">
        <v>400000</v>
      </c>
      <c r="K89" s="250">
        <f>1814040.33+8</f>
        <v>1814048.33</v>
      </c>
      <c r="L89" s="250">
        <f t="shared" si="17"/>
        <v>1414048.33</v>
      </c>
      <c r="M89" s="251">
        <f t="shared" si="20"/>
        <v>-1.3056548830485344</v>
      </c>
      <c r="N89" s="250">
        <f t="shared" si="18"/>
        <v>-3493951.67</v>
      </c>
      <c r="O89" s="251">
        <f t="shared" si="14"/>
        <v>0.3417574095704597</v>
      </c>
      <c r="P89" s="329">
        <f t="shared" si="19"/>
        <v>-293278.66000000015</v>
      </c>
      <c r="Q89" s="315"/>
    </row>
    <row r="90" spans="1:17" ht="98.25" customHeight="1" hidden="1" outlineLevel="1">
      <c r="A90" s="172" t="s">
        <v>158</v>
      </c>
      <c r="B90" s="324" t="s">
        <v>159</v>
      </c>
      <c r="C90" s="306" t="s">
        <v>160</v>
      </c>
      <c r="D90" s="168" t="s">
        <v>158</v>
      </c>
      <c r="E90" s="169">
        <v>485335.25</v>
      </c>
      <c r="F90" s="250">
        <v>200111.45</v>
      </c>
      <c r="G90" s="252">
        <f>F90-E90</f>
        <v>-285223.8</v>
      </c>
      <c r="H90" s="251">
        <f>F90/E90</f>
        <v>0.41231591976886084</v>
      </c>
      <c r="I90" s="250">
        <v>231800</v>
      </c>
      <c r="J90" s="250">
        <v>0</v>
      </c>
      <c r="K90" s="250">
        <v>63226.38</v>
      </c>
      <c r="L90" s="250">
        <f>K90-J90</f>
        <v>63226.38</v>
      </c>
      <c r="M90" s="251">
        <f t="shared" si="20"/>
        <v>-0.8126951537704779</v>
      </c>
      <c r="N90" s="250">
        <f>K90-I90</f>
        <v>-168573.62</v>
      </c>
      <c r="O90" s="251">
        <f t="shared" si="14"/>
        <v>0.2727626402070751</v>
      </c>
      <c r="P90" s="329">
        <f>K90-F90</f>
        <v>-136885.07</v>
      </c>
      <c r="Q90" s="318"/>
    </row>
    <row r="91" spans="1:17" ht="45" customHeight="1" hidden="1" outlineLevel="3">
      <c r="A91" s="172" t="s">
        <v>161</v>
      </c>
      <c r="B91" s="324"/>
      <c r="C91" s="306" t="s">
        <v>23</v>
      </c>
      <c r="D91" s="168" t="s">
        <v>161</v>
      </c>
      <c r="E91" s="169">
        <v>2890.68</v>
      </c>
      <c r="F91" s="250">
        <v>2890.68</v>
      </c>
      <c r="G91" s="252"/>
      <c r="H91" s="251">
        <f aca="true" t="shared" si="21" ref="H91:H130">F91/E91</f>
        <v>1</v>
      </c>
      <c r="I91" s="250">
        <v>33800</v>
      </c>
      <c r="J91" s="250"/>
      <c r="K91" s="250">
        <v>2890.68</v>
      </c>
      <c r="L91" s="250">
        <f aca="true" t="shared" si="22" ref="L91:L120">K91-J91</f>
        <v>2890.68</v>
      </c>
      <c r="M91" s="251" t="e">
        <f t="shared" si="20"/>
        <v>#DIV/0!</v>
      </c>
      <c r="N91" s="250">
        <f aca="true" t="shared" si="23" ref="N91:N106">K91-I91</f>
        <v>-30909.32</v>
      </c>
      <c r="O91" s="251">
        <f t="shared" si="14"/>
        <v>0.08552307692307692</v>
      </c>
      <c r="P91" s="329">
        <f aca="true" t="shared" si="24" ref="P91:P130">K91-F91</f>
        <v>0</v>
      </c>
      <c r="Q91" s="312"/>
    </row>
    <row r="92" spans="1:17" ht="45" customHeight="1" hidden="1" outlineLevel="4">
      <c r="A92" s="172" t="s">
        <v>162</v>
      </c>
      <c r="B92" s="324"/>
      <c r="C92" s="306" t="s">
        <v>163</v>
      </c>
      <c r="D92" s="168" t="s">
        <v>162</v>
      </c>
      <c r="E92" s="169">
        <v>0</v>
      </c>
      <c r="F92" s="250">
        <v>2890.68</v>
      </c>
      <c r="G92" s="252"/>
      <c r="H92" s="251" t="e">
        <f t="shared" si="21"/>
        <v>#DIV/0!</v>
      </c>
      <c r="I92" s="250">
        <v>33800</v>
      </c>
      <c r="J92" s="250"/>
      <c r="K92" s="250">
        <v>2890.68</v>
      </c>
      <c r="L92" s="250">
        <f t="shared" si="22"/>
        <v>2890.68</v>
      </c>
      <c r="M92" s="251" t="e">
        <f t="shared" si="20"/>
        <v>#DIV/0!</v>
      </c>
      <c r="N92" s="250">
        <f t="shared" si="23"/>
        <v>-30909.32</v>
      </c>
      <c r="O92" s="251">
        <f t="shared" si="14"/>
        <v>0.08552307692307692</v>
      </c>
      <c r="P92" s="329">
        <f t="shared" si="24"/>
        <v>0</v>
      </c>
      <c r="Q92" s="312"/>
    </row>
    <row r="93" spans="1:17" ht="45" customHeight="1" hidden="1" outlineLevel="5">
      <c r="A93" s="172" t="s">
        <v>162</v>
      </c>
      <c r="B93" s="324"/>
      <c r="C93" s="306" t="s">
        <v>164</v>
      </c>
      <c r="D93" s="168" t="s">
        <v>162</v>
      </c>
      <c r="E93" s="169">
        <v>2890.68</v>
      </c>
      <c r="F93" s="250">
        <v>0</v>
      </c>
      <c r="G93" s="252"/>
      <c r="H93" s="251">
        <f t="shared" si="21"/>
        <v>0</v>
      </c>
      <c r="I93" s="250">
        <v>33800</v>
      </c>
      <c r="J93" s="250"/>
      <c r="K93" s="250">
        <v>0</v>
      </c>
      <c r="L93" s="250">
        <f t="shared" si="22"/>
        <v>0</v>
      </c>
      <c r="M93" s="251" t="e">
        <f t="shared" si="20"/>
        <v>#DIV/0!</v>
      </c>
      <c r="N93" s="250">
        <f t="shared" si="23"/>
        <v>-33800</v>
      </c>
      <c r="O93" s="251">
        <f t="shared" si="14"/>
        <v>0</v>
      </c>
      <c r="P93" s="329">
        <f t="shared" si="24"/>
        <v>0</v>
      </c>
      <c r="Q93" s="312"/>
    </row>
    <row r="94" spans="1:17" ht="45" customHeight="1" hidden="1" outlineLevel="5">
      <c r="A94" s="172" t="s">
        <v>165</v>
      </c>
      <c r="B94" s="324"/>
      <c r="C94" s="306" t="s">
        <v>164</v>
      </c>
      <c r="D94" s="168" t="s">
        <v>165</v>
      </c>
      <c r="E94" s="169">
        <v>53.23</v>
      </c>
      <c r="F94" s="250">
        <v>2890.68</v>
      </c>
      <c r="G94" s="252"/>
      <c r="H94" s="251">
        <f t="shared" si="21"/>
        <v>54.30546684200639</v>
      </c>
      <c r="I94" s="250">
        <v>0</v>
      </c>
      <c r="J94" s="250"/>
      <c r="K94" s="250">
        <v>2890.68</v>
      </c>
      <c r="L94" s="250">
        <f t="shared" si="22"/>
        <v>2890.68</v>
      </c>
      <c r="M94" s="251" t="e">
        <f t="shared" si="20"/>
        <v>#DIV/0!</v>
      </c>
      <c r="N94" s="250">
        <f t="shared" si="23"/>
        <v>2890.68</v>
      </c>
      <c r="O94" s="251" t="e">
        <f t="shared" si="14"/>
        <v>#DIV/0!</v>
      </c>
      <c r="P94" s="329">
        <f t="shared" si="24"/>
        <v>0</v>
      </c>
      <c r="Q94" s="312"/>
    </row>
    <row r="95" spans="1:17" ht="45" customHeight="1" hidden="1" outlineLevel="3">
      <c r="A95" s="172" t="s">
        <v>166</v>
      </c>
      <c r="B95" s="324"/>
      <c r="C95" s="306" t="s">
        <v>23</v>
      </c>
      <c r="D95" s="168" t="s">
        <v>166</v>
      </c>
      <c r="E95" s="169">
        <v>53.23</v>
      </c>
      <c r="F95" s="250">
        <v>53.23</v>
      </c>
      <c r="G95" s="252"/>
      <c r="H95" s="251">
        <f t="shared" si="21"/>
        <v>1</v>
      </c>
      <c r="I95" s="250">
        <v>0</v>
      </c>
      <c r="J95" s="250"/>
      <c r="K95" s="250">
        <v>53.23</v>
      </c>
      <c r="L95" s="250">
        <f t="shared" si="22"/>
        <v>53.23</v>
      </c>
      <c r="M95" s="251" t="e">
        <f t="shared" si="20"/>
        <v>#DIV/0!</v>
      </c>
      <c r="N95" s="250">
        <f t="shared" si="23"/>
        <v>53.23</v>
      </c>
      <c r="O95" s="251" t="e">
        <f t="shared" si="14"/>
        <v>#DIV/0!</v>
      </c>
      <c r="P95" s="329">
        <f t="shared" si="24"/>
        <v>0</v>
      </c>
      <c r="Q95" s="312"/>
    </row>
    <row r="96" spans="1:17" ht="45" customHeight="1" hidden="1" outlineLevel="4">
      <c r="A96" s="172" t="s">
        <v>167</v>
      </c>
      <c r="B96" s="324"/>
      <c r="C96" s="306" t="s">
        <v>168</v>
      </c>
      <c r="D96" s="168" t="s">
        <v>167</v>
      </c>
      <c r="E96" s="169">
        <v>53.23</v>
      </c>
      <c r="F96" s="250">
        <v>53.23</v>
      </c>
      <c r="G96" s="252"/>
      <c r="H96" s="251">
        <f t="shared" si="21"/>
        <v>1</v>
      </c>
      <c r="I96" s="250">
        <v>0</v>
      </c>
      <c r="J96" s="250"/>
      <c r="K96" s="250">
        <v>53.23</v>
      </c>
      <c r="L96" s="250">
        <f t="shared" si="22"/>
        <v>53.23</v>
      </c>
      <c r="M96" s="251" t="e">
        <f t="shared" si="20"/>
        <v>#DIV/0!</v>
      </c>
      <c r="N96" s="250">
        <f t="shared" si="23"/>
        <v>53.23</v>
      </c>
      <c r="O96" s="251" t="e">
        <f t="shared" si="14"/>
        <v>#DIV/0!</v>
      </c>
      <c r="P96" s="329">
        <f t="shared" si="24"/>
        <v>0</v>
      </c>
      <c r="Q96" s="312"/>
    </row>
    <row r="97" spans="1:17" ht="45" customHeight="1" hidden="1" outlineLevel="5">
      <c r="A97" s="172" t="s">
        <v>169</v>
      </c>
      <c r="B97" s="324"/>
      <c r="C97" s="306" t="s">
        <v>170</v>
      </c>
      <c r="D97" s="168" t="s">
        <v>169</v>
      </c>
      <c r="E97" s="169">
        <v>481.81</v>
      </c>
      <c r="F97" s="250">
        <v>53.23</v>
      </c>
      <c r="G97" s="252"/>
      <c r="H97" s="251">
        <f t="shared" si="21"/>
        <v>0.11047923455303957</v>
      </c>
      <c r="I97" s="250">
        <v>0</v>
      </c>
      <c r="J97" s="250"/>
      <c r="K97" s="250">
        <v>53.23</v>
      </c>
      <c r="L97" s="250">
        <f t="shared" si="22"/>
        <v>53.23</v>
      </c>
      <c r="M97" s="251" t="e">
        <f t="shared" si="20"/>
        <v>#DIV/0!</v>
      </c>
      <c r="N97" s="250">
        <f t="shared" si="23"/>
        <v>53.23</v>
      </c>
      <c r="O97" s="251" t="e">
        <f t="shared" si="14"/>
        <v>#DIV/0!</v>
      </c>
      <c r="P97" s="329">
        <f t="shared" si="24"/>
        <v>0</v>
      </c>
      <c r="Q97" s="312"/>
    </row>
    <row r="98" spans="1:17" ht="45" customHeight="1" hidden="1" outlineLevel="3">
      <c r="A98" s="172" t="s">
        <v>171</v>
      </c>
      <c r="B98" s="324"/>
      <c r="C98" s="306" t="s">
        <v>23</v>
      </c>
      <c r="D98" s="168" t="s">
        <v>171</v>
      </c>
      <c r="E98" s="169">
        <v>481.81</v>
      </c>
      <c r="F98" s="250">
        <v>481.81</v>
      </c>
      <c r="G98" s="252"/>
      <c r="H98" s="251">
        <f t="shared" si="21"/>
        <v>1</v>
      </c>
      <c r="I98" s="250">
        <v>59400</v>
      </c>
      <c r="J98" s="250"/>
      <c r="K98" s="250">
        <v>481.81</v>
      </c>
      <c r="L98" s="250">
        <f t="shared" si="22"/>
        <v>481.81</v>
      </c>
      <c r="M98" s="251" t="e">
        <f t="shared" si="20"/>
        <v>#DIV/0!</v>
      </c>
      <c r="N98" s="250">
        <f t="shared" si="23"/>
        <v>-58918.19</v>
      </c>
      <c r="O98" s="251">
        <f t="shared" si="14"/>
        <v>0.008111279461279462</v>
      </c>
      <c r="P98" s="329">
        <f t="shared" si="24"/>
        <v>0</v>
      </c>
      <c r="Q98" s="312"/>
    </row>
    <row r="99" spans="1:17" ht="45" customHeight="1" hidden="1" outlineLevel="4">
      <c r="A99" s="172" t="s">
        <v>172</v>
      </c>
      <c r="B99" s="324"/>
      <c r="C99" s="306" t="s">
        <v>173</v>
      </c>
      <c r="D99" s="168" t="s">
        <v>172</v>
      </c>
      <c r="E99" s="169">
        <v>0</v>
      </c>
      <c r="F99" s="250">
        <v>481.81</v>
      </c>
      <c r="G99" s="252"/>
      <c r="H99" s="251" t="e">
        <f t="shared" si="21"/>
        <v>#DIV/0!</v>
      </c>
      <c r="I99" s="250">
        <v>59400</v>
      </c>
      <c r="J99" s="250"/>
      <c r="K99" s="250">
        <v>481.81</v>
      </c>
      <c r="L99" s="250">
        <f t="shared" si="22"/>
        <v>481.81</v>
      </c>
      <c r="M99" s="251" t="e">
        <f t="shared" si="20"/>
        <v>#DIV/0!</v>
      </c>
      <c r="N99" s="250">
        <f t="shared" si="23"/>
        <v>-58918.19</v>
      </c>
      <c r="O99" s="251">
        <f t="shared" si="14"/>
        <v>0.008111279461279462</v>
      </c>
      <c r="P99" s="329">
        <f t="shared" si="24"/>
        <v>0</v>
      </c>
      <c r="Q99" s="312"/>
    </row>
    <row r="100" spans="1:17" ht="45" customHeight="1" hidden="1" outlineLevel="5">
      <c r="A100" s="172" t="s">
        <v>172</v>
      </c>
      <c r="B100" s="324"/>
      <c r="C100" s="306" t="s">
        <v>174</v>
      </c>
      <c r="D100" s="168" t="s">
        <v>172</v>
      </c>
      <c r="E100" s="169">
        <v>481.81</v>
      </c>
      <c r="F100" s="250">
        <v>0</v>
      </c>
      <c r="G100" s="252"/>
      <c r="H100" s="251">
        <f t="shared" si="21"/>
        <v>0</v>
      </c>
      <c r="I100" s="250">
        <v>59400</v>
      </c>
      <c r="J100" s="250"/>
      <c r="K100" s="250">
        <v>0</v>
      </c>
      <c r="L100" s="250">
        <f t="shared" si="22"/>
        <v>0</v>
      </c>
      <c r="M100" s="251" t="e">
        <f t="shared" si="20"/>
        <v>#DIV/0!</v>
      </c>
      <c r="N100" s="250">
        <f t="shared" si="23"/>
        <v>-59400</v>
      </c>
      <c r="O100" s="251">
        <f t="shared" si="14"/>
        <v>0</v>
      </c>
      <c r="P100" s="329">
        <f t="shared" si="24"/>
        <v>0</v>
      </c>
      <c r="Q100" s="312"/>
    </row>
    <row r="101" spans="1:17" ht="45" customHeight="1" hidden="1" outlineLevel="5">
      <c r="A101" s="172" t="s">
        <v>175</v>
      </c>
      <c r="B101" s="324"/>
      <c r="C101" s="306" t="s">
        <v>176</v>
      </c>
      <c r="D101" s="168" t="s">
        <v>175</v>
      </c>
      <c r="E101" s="169">
        <v>39261.54</v>
      </c>
      <c r="F101" s="250">
        <v>481.81</v>
      </c>
      <c r="G101" s="252"/>
      <c r="H101" s="251">
        <f t="shared" si="21"/>
        <v>0.01227180594546215</v>
      </c>
      <c r="I101" s="250">
        <v>0</v>
      </c>
      <c r="J101" s="250"/>
      <c r="K101" s="250">
        <v>481.81</v>
      </c>
      <c r="L101" s="250">
        <f t="shared" si="22"/>
        <v>481.81</v>
      </c>
      <c r="M101" s="251" t="e">
        <f t="shared" si="20"/>
        <v>#DIV/0!</v>
      </c>
      <c r="N101" s="250">
        <f t="shared" si="23"/>
        <v>481.81</v>
      </c>
      <c r="O101" s="251" t="e">
        <f t="shared" si="14"/>
        <v>#DIV/0!</v>
      </c>
      <c r="P101" s="329">
        <f t="shared" si="24"/>
        <v>0</v>
      </c>
      <c r="Q101" s="312"/>
    </row>
    <row r="102" spans="1:17" ht="45" customHeight="1" hidden="1" outlineLevel="3">
      <c r="A102" s="172" t="s">
        <v>177</v>
      </c>
      <c r="B102" s="324"/>
      <c r="C102" s="306" t="s">
        <v>23</v>
      </c>
      <c r="D102" s="168" t="s">
        <v>177</v>
      </c>
      <c r="E102" s="169">
        <v>39261.54</v>
      </c>
      <c r="F102" s="250">
        <v>39261.54</v>
      </c>
      <c r="G102" s="252"/>
      <c r="H102" s="251">
        <f t="shared" si="21"/>
        <v>1</v>
      </c>
      <c r="I102" s="250">
        <v>464900</v>
      </c>
      <c r="J102" s="250"/>
      <c r="K102" s="250">
        <v>39261.54</v>
      </c>
      <c r="L102" s="250">
        <f t="shared" si="22"/>
        <v>39261.54</v>
      </c>
      <c r="M102" s="251" t="e">
        <f t="shared" si="20"/>
        <v>#DIV/0!</v>
      </c>
      <c r="N102" s="250">
        <f t="shared" si="23"/>
        <v>-425638.46</v>
      </c>
      <c r="O102" s="251">
        <f t="shared" si="14"/>
        <v>0.0844515809851581</v>
      </c>
      <c r="P102" s="329">
        <f t="shared" si="24"/>
        <v>0</v>
      </c>
      <c r="Q102" s="312"/>
    </row>
    <row r="103" spans="1:17" ht="45" customHeight="1" hidden="1" outlineLevel="4">
      <c r="A103" s="172" t="s">
        <v>178</v>
      </c>
      <c r="B103" s="324"/>
      <c r="C103" s="306" t="s">
        <v>179</v>
      </c>
      <c r="D103" s="168" t="s">
        <v>178</v>
      </c>
      <c r="E103" s="169">
        <v>0</v>
      </c>
      <c r="F103" s="250">
        <v>39261.54</v>
      </c>
      <c r="G103" s="252"/>
      <c r="H103" s="251" t="e">
        <f t="shared" si="21"/>
        <v>#DIV/0!</v>
      </c>
      <c r="I103" s="250">
        <v>464900</v>
      </c>
      <c r="J103" s="250"/>
      <c r="K103" s="250">
        <v>39261.54</v>
      </c>
      <c r="L103" s="250">
        <f t="shared" si="22"/>
        <v>39261.54</v>
      </c>
      <c r="M103" s="251" t="e">
        <f t="shared" si="20"/>
        <v>#DIV/0!</v>
      </c>
      <c r="N103" s="250">
        <f t="shared" si="23"/>
        <v>-425638.46</v>
      </c>
      <c r="O103" s="251">
        <f t="shared" si="14"/>
        <v>0.0844515809851581</v>
      </c>
      <c r="P103" s="329">
        <f t="shared" si="24"/>
        <v>0</v>
      </c>
      <c r="Q103" s="312"/>
    </row>
    <row r="104" spans="1:17" ht="45" customHeight="1" hidden="1" outlineLevel="5">
      <c r="A104" s="172" t="s">
        <v>178</v>
      </c>
      <c r="B104" s="324"/>
      <c r="C104" s="306" t="s">
        <v>180</v>
      </c>
      <c r="D104" s="168" t="s">
        <v>178</v>
      </c>
      <c r="E104" s="169">
        <v>39261.54</v>
      </c>
      <c r="F104" s="250">
        <v>0</v>
      </c>
      <c r="G104" s="252"/>
      <c r="H104" s="251">
        <f t="shared" si="21"/>
        <v>0</v>
      </c>
      <c r="I104" s="250">
        <v>464900</v>
      </c>
      <c r="J104" s="250"/>
      <c r="K104" s="250">
        <v>0</v>
      </c>
      <c r="L104" s="250">
        <f t="shared" si="22"/>
        <v>0</v>
      </c>
      <c r="M104" s="251" t="e">
        <f t="shared" si="20"/>
        <v>#DIV/0!</v>
      </c>
      <c r="N104" s="250">
        <f t="shared" si="23"/>
        <v>-464900</v>
      </c>
      <c r="O104" s="251">
        <f t="shared" si="14"/>
        <v>0</v>
      </c>
      <c r="P104" s="329">
        <f t="shared" si="24"/>
        <v>0</v>
      </c>
      <c r="Q104" s="312"/>
    </row>
    <row r="105" spans="1:17" ht="45" customHeight="1" hidden="1" outlineLevel="5">
      <c r="A105" s="172" t="s">
        <v>181</v>
      </c>
      <c r="B105" s="324"/>
      <c r="C105" s="306" t="s">
        <v>182</v>
      </c>
      <c r="D105" s="168" t="s">
        <v>181</v>
      </c>
      <c r="E105" s="169">
        <f>E106+E107</f>
        <v>10003098.77</v>
      </c>
      <c r="F105" s="250">
        <v>39261.54</v>
      </c>
      <c r="G105" s="252"/>
      <c r="H105" s="251">
        <f t="shared" si="21"/>
        <v>0.003924937752064204</v>
      </c>
      <c r="I105" s="250">
        <v>0</v>
      </c>
      <c r="J105" s="250"/>
      <c r="K105" s="250">
        <v>39261.54</v>
      </c>
      <c r="L105" s="250">
        <f t="shared" si="22"/>
        <v>39261.54</v>
      </c>
      <c r="M105" s="251" t="e">
        <f t="shared" si="20"/>
        <v>#DIV/0!</v>
      </c>
      <c r="N105" s="250">
        <f t="shared" si="23"/>
        <v>39261.54</v>
      </c>
      <c r="O105" s="251" t="e">
        <f t="shared" si="14"/>
        <v>#DIV/0!</v>
      </c>
      <c r="P105" s="329">
        <f t="shared" si="24"/>
        <v>0</v>
      </c>
      <c r="Q105" s="312"/>
    </row>
    <row r="106" spans="1:17" ht="78.75" customHeight="1" hidden="1" outlineLevel="1" collapsed="1">
      <c r="A106" s="172" t="s">
        <v>183</v>
      </c>
      <c r="B106" s="324" t="s">
        <v>184</v>
      </c>
      <c r="C106" s="306" t="s">
        <v>185</v>
      </c>
      <c r="D106" s="168" t="s">
        <v>183</v>
      </c>
      <c r="E106" s="169">
        <f>E107+E108</f>
        <v>6949209.46</v>
      </c>
      <c r="F106" s="250">
        <f>F107+F108</f>
        <v>1051336.56</v>
      </c>
      <c r="G106" s="252">
        <f>G107+G108</f>
        <v>-5897872.9</v>
      </c>
      <c r="H106" s="251">
        <f t="shared" si="21"/>
        <v>0.15128865607685973</v>
      </c>
      <c r="I106" s="250">
        <f>I107+I108</f>
        <v>3385096.2</v>
      </c>
      <c r="J106" s="250">
        <f>J107+J108</f>
        <v>217229</v>
      </c>
      <c r="K106" s="250">
        <f>K107+K108</f>
        <v>967003.59</v>
      </c>
      <c r="L106" s="250">
        <f t="shared" si="22"/>
        <v>749774.59</v>
      </c>
      <c r="M106" s="251">
        <f t="shared" si="20"/>
        <v>-0.5739520429475514</v>
      </c>
      <c r="N106" s="250">
        <f t="shared" si="23"/>
        <v>-2418092.6100000003</v>
      </c>
      <c r="O106" s="251">
        <f t="shared" si="14"/>
        <v>0.2856650248226328</v>
      </c>
      <c r="P106" s="329">
        <f t="shared" si="24"/>
        <v>-84332.97000000009</v>
      </c>
      <c r="Q106" s="312"/>
    </row>
    <row r="107" spans="1:17" ht="62.25" customHeight="1" hidden="1" outlineLevel="2">
      <c r="A107" s="172" t="s">
        <v>186</v>
      </c>
      <c r="B107" s="324" t="s">
        <v>187</v>
      </c>
      <c r="C107" s="306" t="s">
        <v>188</v>
      </c>
      <c r="D107" s="168" t="s">
        <v>186</v>
      </c>
      <c r="E107" s="169">
        <v>3053889.31</v>
      </c>
      <c r="F107" s="250">
        <v>1036482.56</v>
      </c>
      <c r="G107" s="252">
        <f>F107-E107</f>
        <v>-2017406.75</v>
      </c>
      <c r="H107" s="251">
        <f t="shared" si="21"/>
        <v>0.33939755334485255</v>
      </c>
      <c r="I107" s="250">
        <v>3335156.7</v>
      </c>
      <c r="J107" s="250">
        <v>217229</v>
      </c>
      <c r="K107" s="250">
        <v>934950.59</v>
      </c>
      <c r="L107" s="250">
        <f t="shared" si="22"/>
        <v>717721.59</v>
      </c>
      <c r="M107" s="251">
        <f t="shared" si="20"/>
        <v>-1.6531900173328955</v>
      </c>
      <c r="N107" s="250">
        <f>K107-I107</f>
        <v>-2400206.1100000003</v>
      </c>
      <c r="O107" s="251">
        <f t="shared" si="14"/>
        <v>0.28033183268420336</v>
      </c>
      <c r="P107" s="329">
        <f t="shared" si="24"/>
        <v>-101531.97000000009</v>
      </c>
      <c r="Q107" s="318"/>
    </row>
    <row r="108" spans="1:17" ht="35.25" customHeight="1" hidden="1" outlineLevel="3">
      <c r="A108" s="172" t="s">
        <v>189</v>
      </c>
      <c r="B108" s="324" t="s">
        <v>190</v>
      </c>
      <c r="C108" s="306" t="s">
        <v>191</v>
      </c>
      <c r="D108" s="168" t="s">
        <v>192</v>
      </c>
      <c r="E108" s="170">
        <v>3895320.15</v>
      </c>
      <c r="F108" s="252">
        <v>14854</v>
      </c>
      <c r="G108" s="252">
        <f>F108-E108</f>
        <v>-3880466.15</v>
      </c>
      <c r="H108" s="251">
        <f t="shared" si="21"/>
        <v>0.0038132937545582745</v>
      </c>
      <c r="I108" s="250">
        <v>49939.5</v>
      </c>
      <c r="J108" s="250"/>
      <c r="K108" s="252">
        <v>32053</v>
      </c>
      <c r="L108" s="250">
        <f t="shared" si="22"/>
        <v>32053</v>
      </c>
      <c r="M108" s="251">
        <f t="shared" si="20"/>
        <v>-0.012869458995280761</v>
      </c>
      <c r="N108" s="250">
        <f>K108-I108</f>
        <v>-17886.5</v>
      </c>
      <c r="O108" s="251">
        <f t="shared" si="14"/>
        <v>0.6418366223129988</v>
      </c>
      <c r="P108" s="329">
        <f t="shared" si="24"/>
        <v>17199</v>
      </c>
      <c r="Q108" s="315"/>
    </row>
    <row r="109" spans="1:17" ht="39" customHeight="1" outlineLevel="1" collapsed="1">
      <c r="A109" s="172" t="s">
        <v>193</v>
      </c>
      <c r="B109" s="324" t="s">
        <v>194</v>
      </c>
      <c r="C109" s="306" t="s">
        <v>283</v>
      </c>
      <c r="D109" s="168" t="s">
        <v>193</v>
      </c>
      <c r="E109" s="169">
        <f>E110+E111</f>
        <v>19228417.560000002</v>
      </c>
      <c r="F109" s="250">
        <v>7.8</v>
      </c>
      <c r="G109" s="252">
        <f>G110+G111</f>
        <v>-12879648.9</v>
      </c>
      <c r="H109" s="251">
        <f t="shared" si="21"/>
        <v>4.05649605624645E-07</v>
      </c>
      <c r="I109" s="250">
        <f>I110+I111</f>
        <v>24221136</v>
      </c>
      <c r="J109" s="250">
        <f>J110+J111</f>
        <v>200000</v>
      </c>
      <c r="K109" s="250">
        <v>28.5</v>
      </c>
      <c r="L109" s="250">
        <f t="shared" si="22"/>
        <v>-199971.5</v>
      </c>
      <c r="M109" s="251">
        <f t="shared" si="20"/>
        <v>-1.8805742445355011</v>
      </c>
      <c r="N109" s="250">
        <f>N110+N111</f>
        <v>-13977861.86</v>
      </c>
      <c r="O109" s="251">
        <f t="shared" si="14"/>
        <v>1.176658270693827E-06</v>
      </c>
      <c r="P109" s="329">
        <f t="shared" si="24"/>
        <v>20.7</v>
      </c>
      <c r="Q109" s="312"/>
    </row>
    <row r="110" spans="1:17" ht="75.75" customHeight="1" hidden="1" outlineLevel="2">
      <c r="A110" s="172" t="s">
        <v>196</v>
      </c>
      <c r="B110" s="324" t="s">
        <v>197</v>
      </c>
      <c r="C110" s="306" t="s">
        <v>198</v>
      </c>
      <c r="D110" s="168" t="s">
        <v>196</v>
      </c>
      <c r="E110" s="169">
        <v>7574993.66</v>
      </c>
      <c r="F110" s="250">
        <v>3037000</v>
      </c>
      <c r="G110" s="252">
        <f aca="true" t="shared" si="25" ref="G110:G130">F110-E110</f>
        <v>-4537993.66</v>
      </c>
      <c r="H110" s="251">
        <f t="shared" si="21"/>
        <v>0.40092442796843214</v>
      </c>
      <c r="I110" s="250">
        <v>18286836</v>
      </c>
      <c r="J110" s="250"/>
      <c r="K110" s="250">
        <v>3124344.33</v>
      </c>
      <c r="L110" s="250">
        <f t="shared" si="22"/>
        <v>3124344.33</v>
      </c>
      <c r="M110" s="251">
        <f t="shared" si="20"/>
        <v>-4.029718278628005</v>
      </c>
      <c r="N110" s="250">
        <f>K110-I110</f>
        <v>-15162491.67</v>
      </c>
      <c r="O110" s="251">
        <f t="shared" si="14"/>
        <v>0.17085209983837554</v>
      </c>
      <c r="P110" s="329">
        <f t="shared" si="24"/>
        <v>87344.33000000007</v>
      </c>
      <c r="Q110" s="317"/>
    </row>
    <row r="111" spans="1:17" ht="36" customHeight="1" hidden="1" outlineLevel="2">
      <c r="A111" s="172" t="s">
        <v>199</v>
      </c>
      <c r="B111" s="324" t="s">
        <v>200</v>
      </c>
      <c r="C111" s="306" t="s">
        <v>201</v>
      </c>
      <c r="D111" s="168" t="s">
        <v>199</v>
      </c>
      <c r="E111" s="169">
        <v>11653423.9</v>
      </c>
      <c r="F111" s="250">
        <v>3311768.66</v>
      </c>
      <c r="G111" s="252">
        <f t="shared" si="25"/>
        <v>-8341655.24</v>
      </c>
      <c r="H111" s="251">
        <f t="shared" si="21"/>
        <v>0.2841884658465054</v>
      </c>
      <c r="I111" s="250">
        <v>5934300</v>
      </c>
      <c r="J111" s="250">
        <v>200000</v>
      </c>
      <c r="K111" s="250">
        <v>7118929.81</v>
      </c>
      <c r="L111" s="250">
        <f t="shared" si="22"/>
        <v>6918929.81</v>
      </c>
      <c r="M111" s="251">
        <f t="shared" si="20"/>
        <v>-0.7114055699094081</v>
      </c>
      <c r="N111" s="250">
        <f>K111-I111</f>
        <v>1184629.8099999996</v>
      </c>
      <c r="O111" s="251">
        <f t="shared" si="14"/>
        <v>1.1996241865089394</v>
      </c>
      <c r="P111" s="329">
        <f t="shared" si="24"/>
        <v>3807161.1499999994</v>
      </c>
      <c r="Q111" s="315"/>
    </row>
    <row r="112" spans="1:17" ht="51.75" customHeight="1" outlineLevel="1" collapsed="1" thickBot="1">
      <c r="A112" s="172" t="s">
        <v>202</v>
      </c>
      <c r="B112" s="333" t="s">
        <v>203</v>
      </c>
      <c r="C112" s="334" t="s">
        <v>281</v>
      </c>
      <c r="D112" s="335" t="s">
        <v>202</v>
      </c>
      <c r="E112" s="336">
        <v>1668058.37</v>
      </c>
      <c r="F112" s="337">
        <v>0.9</v>
      </c>
      <c r="G112" s="338">
        <f t="shared" si="25"/>
        <v>-1668057.4700000002</v>
      </c>
      <c r="H112" s="339">
        <f t="shared" si="21"/>
        <v>5.395494643271985E-07</v>
      </c>
      <c r="I112" s="337">
        <v>216894.64</v>
      </c>
      <c r="J112" s="337">
        <v>35150</v>
      </c>
      <c r="K112" s="337">
        <v>4.3</v>
      </c>
      <c r="L112" s="337">
        <f t="shared" si="22"/>
        <v>-35145.7</v>
      </c>
      <c r="M112" s="339">
        <f t="shared" si="20"/>
        <v>-0.13002827774273268</v>
      </c>
      <c r="N112" s="337">
        <f>K112-I112</f>
        <v>-216890.34000000003</v>
      </c>
      <c r="O112" s="339">
        <f t="shared" si="14"/>
        <v>1.982529397683594E-05</v>
      </c>
      <c r="P112" s="340">
        <f t="shared" si="24"/>
        <v>3.4</v>
      </c>
      <c r="Q112" s="318" t="s">
        <v>258</v>
      </c>
    </row>
    <row r="113" spans="1:17" ht="45.75" customHeight="1" hidden="1" outlineLevel="1">
      <c r="A113" s="172" t="s">
        <v>205</v>
      </c>
      <c r="B113" s="211" t="s">
        <v>206</v>
      </c>
      <c r="C113" s="191" t="s">
        <v>280</v>
      </c>
      <c r="D113" s="192" t="s">
        <v>205</v>
      </c>
      <c r="E113" s="193">
        <f>E114+E115+E116+E117+E118+E119+E120</f>
        <v>7747287.5</v>
      </c>
      <c r="F113" s="248">
        <v>3.7</v>
      </c>
      <c r="G113" s="259">
        <f>G114+G115+G116+G117+G118+G119</f>
        <v>-3942434.1199999996</v>
      </c>
      <c r="H113" s="249">
        <f t="shared" si="21"/>
        <v>4.775865101172507E-07</v>
      </c>
      <c r="I113" s="248">
        <f>I114+I115+I116+I117+I118+I119+I120</f>
        <v>7004782.08</v>
      </c>
      <c r="J113" s="248">
        <f>J114+J115+J116+J117+J118+J119+J120</f>
        <v>918137.48</v>
      </c>
      <c r="K113" s="248">
        <v>3.6</v>
      </c>
      <c r="L113" s="248">
        <f>L114+L115+L116+L117+L118+L119+L120</f>
        <v>2643184.99</v>
      </c>
      <c r="M113" s="248" t="e">
        <f>M114+M115+M116+M117+M118+M119+M120</f>
        <v>#DIV/0!</v>
      </c>
      <c r="N113" s="248">
        <f>N114+N115+N116+N117+N118+N119+N120</f>
        <v>-3443459.6099999994</v>
      </c>
      <c r="O113" s="249">
        <f t="shared" si="14"/>
        <v>5.139346176490904E-07</v>
      </c>
      <c r="P113" s="248">
        <f t="shared" si="24"/>
        <v>-0.10000000000000009</v>
      </c>
      <c r="Q113" s="175"/>
    </row>
    <row r="114" spans="1:17" ht="72" customHeight="1" hidden="1" outlineLevel="1">
      <c r="A114" s="172"/>
      <c r="B114" s="173" t="s">
        <v>208</v>
      </c>
      <c r="C114" s="167" t="s">
        <v>209</v>
      </c>
      <c r="D114" s="168" t="s">
        <v>210</v>
      </c>
      <c r="E114" s="176">
        <v>0</v>
      </c>
      <c r="F114" s="169"/>
      <c r="G114" s="170"/>
      <c r="H114" s="171"/>
      <c r="I114" s="169"/>
      <c r="J114" s="169"/>
      <c r="K114" s="169"/>
      <c r="L114" s="169">
        <f t="shared" si="22"/>
        <v>0</v>
      </c>
      <c r="M114" s="171"/>
      <c r="N114" s="169">
        <f aca="true" t="shared" si="26" ref="N114:N120">K114-I114</f>
        <v>0</v>
      </c>
      <c r="O114" s="171"/>
      <c r="P114" s="169">
        <f t="shared" si="24"/>
        <v>0</v>
      </c>
      <c r="Q114" s="177"/>
    </row>
    <row r="115" spans="1:17" ht="94.5" customHeight="1" hidden="1" outlineLevel="5">
      <c r="A115" s="172" t="s">
        <v>211</v>
      </c>
      <c r="B115" s="173" t="s">
        <v>212</v>
      </c>
      <c r="C115" s="167" t="s">
        <v>213</v>
      </c>
      <c r="D115" s="168" t="s">
        <v>211</v>
      </c>
      <c r="E115" s="169">
        <v>898909.4</v>
      </c>
      <c r="F115" s="169">
        <v>220559.6</v>
      </c>
      <c r="G115" s="170">
        <f t="shared" si="25"/>
        <v>-678349.8</v>
      </c>
      <c r="H115" s="171">
        <f t="shared" si="21"/>
        <v>0.24536354831755014</v>
      </c>
      <c r="I115" s="169">
        <v>936864.56</v>
      </c>
      <c r="J115" s="169"/>
      <c r="K115" s="169">
        <v>370929.6</v>
      </c>
      <c r="L115" s="169">
        <f t="shared" si="22"/>
        <v>370929.6</v>
      </c>
      <c r="M115" s="171">
        <f>I115/G115</f>
        <v>-1.381093589177737</v>
      </c>
      <c r="N115" s="169">
        <f t="shared" si="26"/>
        <v>-565934.9600000001</v>
      </c>
      <c r="O115" s="171">
        <f t="shared" si="14"/>
        <v>0.39592660010535563</v>
      </c>
      <c r="P115" s="169">
        <f t="shared" si="24"/>
        <v>150369.99999999997</v>
      </c>
      <c r="Q115" s="174" t="s">
        <v>259</v>
      </c>
    </row>
    <row r="116" spans="1:17" ht="61.5" customHeight="1" hidden="1" outlineLevel="5">
      <c r="A116" s="172" t="s">
        <v>214</v>
      </c>
      <c r="B116" s="173" t="s">
        <v>215</v>
      </c>
      <c r="C116" s="167" t="s">
        <v>216</v>
      </c>
      <c r="D116" s="168" t="s">
        <v>214</v>
      </c>
      <c r="E116" s="169">
        <v>91219.38</v>
      </c>
      <c r="F116" s="169">
        <v>17992.12</v>
      </c>
      <c r="G116" s="170">
        <f t="shared" si="25"/>
        <v>-73227.26000000001</v>
      </c>
      <c r="H116" s="171">
        <f t="shared" si="21"/>
        <v>0.19724010402175501</v>
      </c>
      <c r="I116" s="169">
        <v>33077</v>
      </c>
      <c r="J116" s="169">
        <v>4255</v>
      </c>
      <c r="K116" s="169"/>
      <c r="L116" s="169">
        <f t="shared" si="22"/>
        <v>-4255</v>
      </c>
      <c r="M116" s="171">
        <f>I116/G116</f>
        <v>-0.45170336839040537</v>
      </c>
      <c r="N116" s="169">
        <f t="shared" si="26"/>
        <v>-33077</v>
      </c>
      <c r="O116" s="171">
        <f t="shared" si="14"/>
        <v>0</v>
      </c>
      <c r="P116" s="169">
        <f t="shared" si="24"/>
        <v>-17992.12</v>
      </c>
      <c r="Q116" s="174"/>
    </row>
    <row r="117" spans="1:17" ht="79.5" customHeight="1" hidden="1" outlineLevel="5">
      <c r="A117" s="172" t="s">
        <v>217</v>
      </c>
      <c r="B117" s="173" t="s">
        <v>218</v>
      </c>
      <c r="C117" s="167" t="s">
        <v>219</v>
      </c>
      <c r="D117" s="168" t="s">
        <v>217</v>
      </c>
      <c r="E117" s="169">
        <v>0</v>
      </c>
      <c r="F117" s="169"/>
      <c r="G117" s="170">
        <f t="shared" si="25"/>
        <v>0</v>
      </c>
      <c r="H117" s="171"/>
      <c r="I117" s="169"/>
      <c r="J117" s="169"/>
      <c r="K117" s="169"/>
      <c r="L117" s="169">
        <f t="shared" si="22"/>
        <v>0</v>
      </c>
      <c r="M117" s="171"/>
      <c r="N117" s="169">
        <f t="shared" si="26"/>
        <v>0</v>
      </c>
      <c r="O117" s="171"/>
      <c r="P117" s="169">
        <f t="shared" si="24"/>
        <v>0</v>
      </c>
      <c r="Q117" s="174"/>
    </row>
    <row r="118" spans="1:17" ht="45" customHeight="1" hidden="1" outlineLevel="5">
      <c r="A118" s="172" t="s">
        <v>220</v>
      </c>
      <c r="B118" s="173"/>
      <c r="C118" s="167" t="s">
        <v>221</v>
      </c>
      <c r="D118" s="168" t="s">
        <v>220</v>
      </c>
      <c r="E118" s="169"/>
      <c r="F118" s="169"/>
      <c r="G118" s="170">
        <f t="shared" si="25"/>
        <v>0</v>
      </c>
      <c r="H118" s="171" t="e">
        <f t="shared" si="21"/>
        <v>#DIV/0!</v>
      </c>
      <c r="I118" s="169"/>
      <c r="J118" s="169"/>
      <c r="K118" s="169"/>
      <c r="L118" s="169">
        <f t="shared" si="22"/>
        <v>0</v>
      </c>
      <c r="M118" s="171" t="e">
        <f aca="true" t="shared" si="27" ref="M118:M127">I118/G118</f>
        <v>#DIV/0!</v>
      </c>
      <c r="N118" s="169">
        <f t="shared" si="26"/>
        <v>0</v>
      </c>
      <c r="O118" s="171" t="e">
        <f t="shared" si="14"/>
        <v>#DIV/0!</v>
      </c>
      <c r="P118" s="169">
        <f t="shared" si="24"/>
        <v>0</v>
      </c>
      <c r="Q118" s="174" t="s">
        <v>222</v>
      </c>
    </row>
    <row r="119" spans="1:17" ht="117" customHeight="1" hidden="1" outlineLevel="5">
      <c r="A119" s="172" t="s">
        <v>223</v>
      </c>
      <c r="B119" s="178" t="s">
        <v>224</v>
      </c>
      <c r="C119" s="179" t="s">
        <v>225</v>
      </c>
      <c r="D119" s="180" t="s">
        <v>223</v>
      </c>
      <c r="E119" s="181">
        <v>5165454.72</v>
      </c>
      <c r="F119" s="181">
        <v>1974597.66</v>
      </c>
      <c r="G119" s="182">
        <f t="shared" si="25"/>
        <v>-3190857.0599999996</v>
      </c>
      <c r="H119" s="183">
        <f t="shared" si="21"/>
        <v>0.3822698614227713</v>
      </c>
      <c r="I119" s="181">
        <v>4745840.52</v>
      </c>
      <c r="J119" s="181">
        <v>913882.48</v>
      </c>
      <c r="K119" s="181">
        <f>1847069.51+54323.36</f>
        <v>1901392.87</v>
      </c>
      <c r="L119" s="181">
        <f t="shared" si="22"/>
        <v>987510.3900000001</v>
      </c>
      <c r="M119" s="183">
        <f t="shared" si="27"/>
        <v>-1.4873247001543843</v>
      </c>
      <c r="N119" s="181">
        <f t="shared" si="26"/>
        <v>-2844447.6499999994</v>
      </c>
      <c r="O119" s="183">
        <f t="shared" si="14"/>
        <v>0.400644071790259</v>
      </c>
      <c r="P119" s="181">
        <f t="shared" si="24"/>
        <v>-73204.7899999998</v>
      </c>
      <c r="Q119" s="184"/>
    </row>
    <row r="120" spans="1:17" ht="47.25" customHeight="1" hidden="1" outlineLevel="5" thickBot="1">
      <c r="A120" s="172"/>
      <c r="B120" s="173" t="s">
        <v>226</v>
      </c>
      <c r="C120" s="185" t="s">
        <v>227</v>
      </c>
      <c r="D120" s="186"/>
      <c r="E120" s="187">
        <v>1591704</v>
      </c>
      <c r="F120" s="187">
        <v>1526308</v>
      </c>
      <c r="G120" s="188">
        <f t="shared" si="25"/>
        <v>-65396</v>
      </c>
      <c r="H120" s="189">
        <f t="shared" si="21"/>
        <v>0.9589144715349085</v>
      </c>
      <c r="I120" s="187">
        <v>1289000</v>
      </c>
      <c r="J120" s="187"/>
      <c r="K120" s="187">
        <v>1289000</v>
      </c>
      <c r="L120" s="181">
        <f t="shared" si="22"/>
        <v>1289000</v>
      </c>
      <c r="M120" s="189">
        <f t="shared" si="27"/>
        <v>-19.710685668848246</v>
      </c>
      <c r="N120" s="181">
        <f t="shared" si="26"/>
        <v>0</v>
      </c>
      <c r="O120" s="189"/>
      <c r="P120" s="181">
        <f t="shared" si="24"/>
        <v>-237308</v>
      </c>
      <c r="Q120" s="190" t="s">
        <v>269</v>
      </c>
    </row>
    <row r="121" spans="1:17" ht="31.5" customHeight="1" hidden="1" thickBot="1">
      <c r="A121" s="172" t="s">
        <v>228</v>
      </c>
      <c r="B121" s="173" t="s">
        <v>226</v>
      </c>
      <c r="C121" s="215" t="s">
        <v>229</v>
      </c>
      <c r="D121" s="216" t="s">
        <v>228</v>
      </c>
      <c r="E121" s="217">
        <f>E122+E126+E127+E128+E129+E130</f>
        <v>3087425772.07</v>
      </c>
      <c r="F121" s="217">
        <f>F122+F126+F127+F128+F129+F130</f>
        <v>422571781.40999997</v>
      </c>
      <c r="G121" s="218">
        <f t="shared" si="25"/>
        <v>-2664853990.6600003</v>
      </c>
      <c r="H121" s="219">
        <f t="shared" si="21"/>
        <v>0.13686864482143707</v>
      </c>
      <c r="I121" s="217">
        <f>I122+I126+I127+I128+I129+I130</f>
        <v>2563683295.13</v>
      </c>
      <c r="J121" s="220" t="s">
        <v>230</v>
      </c>
      <c r="K121" s="217">
        <f>K122+K126+K127+K128+K129+K130</f>
        <v>546674864.62</v>
      </c>
      <c r="L121" s="220" t="s">
        <v>230</v>
      </c>
      <c r="M121" s="219">
        <f t="shared" si="27"/>
        <v>-0.9620351824585543</v>
      </c>
      <c r="N121" s="217">
        <f>N122+N126+N127+N130</f>
        <v>-1911564296.81</v>
      </c>
      <c r="O121" s="219">
        <f t="shared" si="14"/>
        <v>0.2132380648024931</v>
      </c>
      <c r="P121" s="217">
        <f t="shared" si="24"/>
        <v>124103083.21000004</v>
      </c>
      <c r="Q121" s="221"/>
    </row>
    <row r="122" spans="1:17" ht="39.75" customHeight="1" hidden="1" outlineLevel="2">
      <c r="A122" s="172" t="s">
        <v>231</v>
      </c>
      <c r="B122" s="173" t="s">
        <v>232</v>
      </c>
      <c r="C122" s="191" t="s">
        <v>233</v>
      </c>
      <c r="D122" s="192" t="s">
        <v>231</v>
      </c>
      <c r="E122" s="193">
        <v>473098326.55</v>
      </c>
      <c r="F122" s="193">
        <v>146548690.77</v>
      </c>
      <c r="G122" s="194">
        <f t="shared" si="25"/>
        <v>-326549635.78</v>
      </c>
      <c r="H122" s="195">
        <f t="shared" si="21"/>
        <v>0.3097637056522368</v>
      </c>
      <c r="I122" s="193">
        <v>497698288.62</v>
      </c>
      <c r="J122" s="196" t="s">
        <v>230</v>
      </c>
      <c r="K122" s="193">
        <v>165899432.62</v>
      </c>
      <c r="L122" s="196" t="s">
        <v>230</v>
      </c>
      <c r="M122" s="195">
        <f t="shared" si="27"/>
        <v>-1.5241122147669603</v>
      </c>
      <c r="N122" s="181">
        <f aca="true" t="shared" si="28" ref="N122:N129">K122-I122</f>
        <v>-331798856</v>
      </c>
      <c r="O122" s="195">
        <f t="shared" si="14"/>
        <v>0.3333333395218216</v>
      </c>
      <c r="P122" s="193">
        <f t="shared" si="24"/>
        <v>19350741.849999994</v>
      </c>
      <c r="Q122" s="197"/>
    </row>
    <row r="123" spans="1:17" ht="45" customHeight="1" hidden="1" outlineLevel="3">
      <c r="A123" s="172" t="s">
        <v>234</v>
      </c>
      <c r="B123" s="173"/>
      <c r="C123" s="167" t="s">
        <v>235</v>
      </c>
      <c r="D123" s="168" t="s">
        <v>234</v>
      </c>
      <c r="E123" s="169"/>
      <c r="F123" s="169"/>
      <c r="G123" s="194">
        <f t="shared" si="25"/>
        <v>0</v>
      </c>
      <c r="H123" s="195" t="e">
        <f t="shared" si="21"/>
        <v>#DIV/0!</v>
      </c>
      <c r="I123" s="169"/>
      <c r="J123" s="169"/>
      <c r="K123" s="169"/>
      <c r="L123" s="169"/>
      <c r="M123" s="195" t="e">
        <f t="shared" si="27"/>
        <v>#DIV/0!</v>
      </c>
      <c r="N123" s="181">
        <f t="shared" si="28"/>
        <v>0</v>
      </c>
      <c r="O123" s="195" t="e">
        <f t="shared" si="14"/>
        <v>#DIV/0!</v>
      </c>
      <c r="P123" s="193">
        <f t="shared" si="24"/>
        <v>0</v>
      </c>
      <c r="Q123" s="198"/>
    </row>
    <row r="124" spans="1:17" ht="45" customHeight="1" hidden="1" outlineLevel="4">
      <c r="A124" s="172" t="s">
        <v>236</v>
      </c>
      <c r="B124" s="173"/>
      <c r="C124" s="167" t="s">
        <v>237</v>
      </c>
      <c r="D124" s="168" t="s">
        <v>236</v>
      </c>
      <c r="E124" s="169"/>
      <c r="F124" s="169"/>
      <c r="G124" s="194">
        <f t="shared" si="25"/>
        <v>0</v>
      </c>
      <c r="H124" s="195" t="e">
        <f t="shared" si="21"/>
        <v>#DIV/0!</v>
      </c>
      <c r="I124" s="169"/>
      <c r="J124" s="169"/>
      <c r="K124" s="169"/>
      <c r="L124" s="169"/>
      <c r="M124" s="195" t="e">
        <f t="shared" si="27"/>
        <v>#DIV/0!</v>
      </c>
      <c r="N124" s="181">
        <f t="shared" si="28"/>
        <v>0</v>
      </c>
      <c r="O124" s="195" t="e">
        <f t="shared" si="14"/>
        <v>#DIV/0!</v>
      </c>
      <c r="P124" s="193">
        <f t="shared" si="24"/>
        <v>0</v>
      </c>
      <c r="Q124" s="198"/>
    </row>
    <row r="125" spans="1:17" ht="45" customHeight="1" hidden="1" outlineLevel="5">
      <c r="A125" s="172" t="s">
        <v>236</v>
      </c>
      <c r="B125" s="173"/>
      <c r="C125" s="167" t="s">
        <v>238</v>
      </c>
      <c r="D125" s="168" t="s">
        <v>236</v>
      </c>
      <c r="E125" s="169"/>
      <c r="F125" s="169"/>
      <c r="G125" s="194">
        <f t="shared" si="25"/>
        <v>0</v>
      </c>
      <c r="H125" s="195" t="e">
        <f t="shared" si="21"/>
        <v>#DIV/0!</v>
      </c>
      <c r="I125" s="169"/>
      <c r="J125" s="169"/>
      <c r="K125" s="169"/>
      <c r="L125" s="169"/>
      <c r="M125" s="195" t="e">
        <f t="shared" si="27"/>
        <v>#DIV/0!</v>
      </c>
      <c r="N125" s="181">
        <f t="shared" si="28"/>
        <v>0</v>
      </c>
      <c r="O125" s="195" t="e">
        <f t="shared" si="14"/>
        <v>#DIV/0!</v>
      </c>
      <c r="P125" s="193">
        <f t="shared" si="24"/>
        <v>0</v>
      </c>
      <c r="Q125" s="198"/>
    </row>
    <row r="126" spans="1:17" ht="21" customHeight="1" hidden="1" outlineLevel="2" collapsed="1">
      <c r="A126" s="172" t="s">
        <v>239</v>
      </c>
      <c r="B126" s="173" t="s">
        <v>240</v>
      </c>
      <c r="C126" s="167" t="s">
        <v>241</v>
      </c>
      <c r="D126" s="168" t="s">
        <v>242</v>
      </c>
      <c r="E126" s="199">
        <v>1985905932.37</v>
      </c>
      <c r="F126" s="199">
        <v>92969830.07</v>
      </c>
      <c r="G126" s="194">
        <f t="shared" si="25"/>
        <v>-1892936102.3</v>
      </c>
      <c r="H126" s="195">
        <f t="shared" si="21"/>
        <v>0.04681482065922875</v>
      </c>
      <c r="I126" s="169">
        <v>1359152528.19</v>
      </c>
      <c r="J126" s="196" t="s">
        <v>230</v>
      </c>
      <c r="K126" s="199">
        <v>147951413.94</v>
      </c>
      <c r="L126" s="196" t="s">
        <v>230</v>
      </c>
      <c r="M126" s="195">
        <f t="shared" si="27"/>
        <v>-0.7180128935882043</v>
      </c>
      <c r="N126" s="181">
        <f t="shared" si="28"/>
        <v>-1211201114.25</v>
      </c>
      <c r="O126" s="195">
        <f t="shared" si="14"/>
        <v>0.10885563678200907</v>
      </c>
      <c r="P126" s="193">
        <f t="shared" si="24"/>
        <v>54981583.870000005</v>
      </c>
      <c r="Q126" s="198"/>
    </row>
    <row r="127" spans="1:17" ht="22.5" customHeight="1" hidden="1" outlineLevel="5">
      <c r="A127" s="172" t="s">
        <v>243</v>
      </c>
      <c r="B127" s="173" t="s">
        <v>244</v>
      </c>
      <c r="C127" s="167" t="s">
        <v>245</v>
      </c>
      <c r="D127" s="168" t="s">
        <v>246</v>
      </c>
      <c r="E127" s="169">
        <v>520683169.05</v>
      </c>
      <c r="F127" s="169">
        <v>174731419.23</v>
      </c>
      <c r="G127" s="194">
        <f t="shared" si="25"/>
        <v>-345951749.82000005</v>
      </c>
      <c r="H127" s="195">
        <f t="shared" si="21"/>
        <v>0.3355810781224252</v>
      </c>
      <c r="I127" s="169">
        <v>569411761.15</v>
      </c>
      <c r="J127" s="196" t="s">
        <v>230</v>
      </c>
      <c r="K127" s="169">
        <v>200847434.59</v>
      </c>
      <c r="L127" s="196" t="s">
        <v>230</v>
      </c>
      <c r="M127" s="195">
        <f t="shared" si="27"/>
        <v>-1.6459282586264328</v>
      </c>
      <c r="N127" s="181">
        <f t="shared" si="28"/>
        <v>-368564326.55999994</v>
      </c>
      <c r="O127" s="195">
        <f t="shared" si="14"/>
        <v>0.35272793485045495</v>
      </c>
      <c r="P127" s="193">
        <f t="shared" si="24"/>
        <v>26116015.360000014</v>
      </c>
      <c r="Q127" s="198"/>
    </row>
    <row r="128" spans="1:17" ht="22.5" customHeight="1" hidden="1" outlineLevel="5">
      <c r="A128" s="172"/>
      <c r="B128" s="173" t="s">
        <v>247</v>
      </c>
      <c r="C128" s="167" t="s">
        <v>248</v>
      </c>
      <c r="D128" s="168"/>
      <c r="E128" s="169">
        <v>110208359.34</v>
      </c>
      <c r="F128" s="169">
        <v>8615171.26</v>
      </c>
      <c r="G128" s="194">
        <f t="shared" si="25"/>
        <v>-101593188.08</v>
      </c>
      <c r="H128" s="195">
        <f t="shared" si="21"/>
        <v>0.07817166784437497</v>
      </c>
      <c r="I128" s="169">
        <v>135974047.4</v>
      </c>
      <c r="J128" s="196" t="s">
        <v>230</v>
      </c>
      <c r="K128" s="169">
        <v>31039913.7</v>
      </c>
      <c r="L128" s="196" t="s">
        <v>230</v>
      </c>
      <c r="M128" s="195"/>
      <c r="N128" s="181">
        <f t="shared" si="28"/>
        <v>-104934133.7</v>
      </c>
      <c r="O128" s="195"/>
      <c r="P128" s="193">
        <f t="shared" si="24"/>
        <v>22424742.439999998</v>
      </c>
      <c r="Q128" s="198"/>
    </row>
    <row r="129" spans="1:17" ht="54" customHeight="1" hidden="1" outlineLevel="5">
      <c r="A129" s="172"/>
      <c r="B129" s="173" t="s">
        <v>249</v>
      </c>
      <c r="C129" s="167" t="s">
        <v>250</v>
      </c>
      <c r="D129" s="168"/>
      <c r="E129" s="181">
        <v>1669917.56</v>
      </c>
      <c r="F129" s="181"/>
      <c r="G129" s="194"/>
      <c r="H129" s="195"/>
      <c r="I129" s="169">
        <v>1446811.59</v>
      </c>
      <c r="J129" s="196" t="s">
        <v>230</v>
      </c>
      <c r="K129" s="181">
        <v>936811.59</v>
      </c>
      <c r="L129" s="196" t="s">
        <v>230</v>
      </c>
      <c r="M129" s="195"/>
      <c r="N129" s="181">
        <f t="shared" si="28"/>
        <v>-510000.0000000001</v>
      </c>
      <c r="O129" s="195"/>
      <c r="P129" s="193">
        <f t="shared" si="24"/>
        <v>936811.59</v>
      </c>
      <c r="Q129" s="198"/>
    </row>
    <row r="130" spans="1:17" ht="40.5" customHeight="1" hidden="1" outlineLevel="1">
      <c r="A130" s="172" t="s">
        <v>251</v>
      </c>
      <c r="B130" s="173" t="s">
        <v>252</v>
      </c>
      <c r="C130" s="167" t="s">
        <v>253</v>
      </c>
      <c r="D130" s="168" t="s">
        <v>251</v>
      </c>
      <c r="E130" s="181">
        <v>-4139932.8</v>
      </c>
      <c r="F130" s="181">
        <v>-293329.92</v>
      </c>
      <c r="G130" s="194">
        <f t="shared" si="25"/>
        <v>3846602.88</v>
      </c>
      <c r="H130" s="195">
        <f t="shared" si="21"/>
        <v>0.0708537877716276</v>
      </c>
      <c r="I130" s="169">
        <v>-141.82</v>
      </c>
      <c r="J130" s="196" t="s">
        <v>230</v>
      </c>
      <c r="K130" s="181">
        <v>-141.82</v>
      </c>
      <c r="L130" s="196" t="s">
        <v>230</v>
      </c>
      <c r="M130" s="171"/>
      <c r="N130" s="181">
        <f>K130-I130</f>
        <v>0</v>
      </c>
      <c r="O130" s="171"/>
      <c r="P130" s="193">
        <f t="shared" si="24"/>
        <v>293188.1</v>
      </c>
      <c r="Q130" s="198"/>
    </row>
    <row r="131" spans="1:17" ht="23.25" customHeight="1" hidden="1">
      <c r="A131" s="553" t="s">
        <v>254</v>
      </c>
      <c r="B131" s="554"/>
      <c r="C131" s="555"/>
      <c r="D131" s="556"/>
      <c r="E131" s="222">
        <f>E121+E11</f>
        <v>3513539007.31</v>
      </c>
      <c r="F131" s="222">
        <f>F121+F11</f>
        <v>422571956.40999997</v>
      </c>
      <c r="G131" s="223">
        <f>F131-E131</f>
        <v>-3090967050.9</v>
      </c>
      <c r="H131" s="224">
        <f>F131/E131</f>
        <v>0.12026960723385428</v>
      </c>
      <c r="I131" s="225">
        <f>I121+I11</f>
        <v>2945678046.87</v>
      </c>
      <c r="J131" s="196" t="s">
        <v>230</v>
      </c>
      <c r="K131" s="222">
        <f>K121+K11</f>
        <v>546675052.32</v>
      </c>
      <c r="L131" s="196" t="s">
        <v>230</v>
      </c>
      <c r="M131" s="224">
        <f>I131/G131</f>
        <v>-0.9529956154053159</v>
      </c>
      <c r="N131" s="222">
        <f>N121+N11</f>
        <v>-2293558860.85</v>
      </c>
      <c r="O131" s="224">
        <f>K131/I131</f>
        <v>0.18558547255389388</v>
      </c>
      <c r="P131" s="181">
        <f>K131-F131</f>
        <v>124103095.91000009</v>
      </c>
      <c r="Q131" s="226"/>
    </row>
    <row r="132" spans="1:17" ht="24.75" customHeight="1" hidden="1">
      <c r="A132" s="200"/>
      <c r="B132" s="201">
        <v>46</v>
      </c>
      <c r="C132" s="227" t="s">
        <v>255</v>
      </c>
      <c r="D132" s="202"/>
      <c r="E132" s="203">
        <v>39027</v>
      </c>
      <c r="F132" s="203">
        <v>540</v>
      </c>
      <c r="G132" s="204"/>
      <c r="H132" s="224"/>
      <c r="I132" s="205"/>
      <c r="J132" s="205"/>
      <c r="K132" s="203">
        <v>-8441.91</v>
      </c>
      <c r="L132" s="205"/>
      <c r="M132" s="224"/>
      <c r="N132" s="203"/>
      <c r="O132" s="224"/>
      <c r="P132" s="206"/>
      <c r="Q132" s="207"/>
    </row>
    <row r="133" spans="1:17" ht="26.25" customHeight="1" hidden="1" thickBot="1">
      <c r="A133" s="228"/>
      <c r="B133" s="229"/>
      <c r="C133" s="229"/>
      <c r="D133" s="229"/>
      <c r="E133" s="230">
        <f>E131++E132</f>
        <v>3513578034.31</v>
      </c>
      <c r="F133" s="230">
        <f>F131++F132</f>
        <v>422572496.40999997</v>
      </c>
      <c r="G133" s="231">
        <f>F133-E133</f>
        <v>-3091005537.9</v>
      </c>
      <c r="H133" s="232">
        <f>F133/E133</f>
        <v>0.12026842503100552</v>
      </c>
      <c r="I133" s="233">
        <f>I131++I132</f>
        <v>2945678046.87</v>
      </c>
      <c r="J133" s="234" t="s">
        <v>230</v>
      </c>
      <c r="K133" s="230">
        <f>K131++K132</f>
        <v>546666610.4100001</v>
      </c>
      <c r="L133" s="235" t="s">
        <v>230</v>
      </c>
      <c r="M133" s="232">
        <f>I133/G133</f>
        <v>-0.9529837493824956</v>
      </c>
      <c r="N133" s="230">
        <f>N131++N132</f>
        <v>-2293558860.85</v>
      </c>
      <c r="O133" s="232">
        <f>K133/I133</f>
        <v>0.18558260669080032</v>
      </c>
      <c r="P133" s="231">
        <f>K133-F133</f>
        <v>124094114.00000012</v>
      </c>
      <c r="Q133" s="236"/>
    </row>
    <row r="134" ht="21">
      <c r="E134" s="208"/>
    </row>
    <row r="137" ht="21">
      <c r="E137" s="208"/>
    </row>
  </sheetData>
  <sheetProtection/>
  <mergeCells count="15">
    <mergeCell ref="Q7:Q9"/>
    <mergeCell ref="A8:A9"/>
    <mergeCell ref="A131:D131"/>
    <mergeCell ref="B7:B9"/>
    <mergeCell ref="C7:C9"/>
    <mergeCell ref="D7:D9"/>
    <mergeCell ref="E7:H9"/>
    <mergeCell ref="I7:O9"/>
    <mergeCell ref="P7:P9"/>
    <mergeCell ref="A6:Q6"/>
    <mergeCell ref="A1:D1"/>
    <mergeCell ref="A2:D2"/>
    <mergeCell ref="A3:E3"/>
    <mergeCell ref="A4:Q4"/>
    <mergeCell ref="A5:D5"/>
  </mergeCells>
  <printOptions horizontalCentered="1"/>
  <pageMargins left="0" right="0" top="0.1968503937007874" bottom="0" header="0.3937007874015748" footer="0.3937007874015748"/>
  <pageSetup blackAndWhite="1" errors="blank" fitToHeight="1" fitToWidth="1" horizontalDpi="600" verticalDpi="600" orientation="landscape" paperSize="9" scale="69" r:id="rId1"/>
  <rowBreaks count="2" manualBreakCount="2">
    <brk id="112" min="1" max="16" man="1"/>
    <brk id="113" min="1" max="16" man="1"/>
  </rowBreaks>
</worksheet>
</file>

<file path=xl/worksheets/sheet8.xml><?xml version="1.0" encoding="utf-8"?>
<worksheet xmlns="http://schemas.openxmlformats.org/spreadsheetml/2006/main" xmlns:r="http://schemas.openxmlformats.org/officeDocument/2006/relationships">
  <sheetPr>
    <tabColor theme="0" tint="-0.04997999966144562"/>
    <pageSetUpPr fitToPage="1"/>
  </sheetPr>
  <dimension ref="A1:Q137"/>
  <sheetViews>
    <sheetView showGridLines="0" showZeros="0" view="pageBreakPreview" zoomScale="85" zoomScaleNormal="75" zoomScaleSheetLayoutView="85" zoomScalePageLayoutView="0" workbookViewId="0" topLeftCell="B1">
      <pane ySplit="9" topLeftCell="A10" activePane="bottomLeft" state="frozen"/>
      <selection pane="topLeft" activeCell="A1" sqref="A1"/>
      <selection pane="bottomLeft" activeCell="K13" sqref="K13"/>
    </sheetView>
  </sheetViews>
  <sheetFormatPr defaultColWidth="9.140625" defaultRowHeight="15" outlineLevelRow="5"/>
  <cols>
    <col min="1" max="1" width="9.140625" style="1" hidden="1" customWidth="1"/>
    <col min="2" max="2" width="5.28125" style="1" customWidth="1"/>
    <col min="3" max="3" width="27.421875" style="2" customWidth="1"/>
    <col min="4" max="4" width="18.00390625" style="1" hidden="1" customWidth="1"/>
    <col min="5" max="6" width="21.421875" style="1" bestFit="1" customWidth="1"/>
    <col min="7" max="7" width="20.57421875" style="1" customWidth="1"/>
    <col min="8" max="8" width="10.28125" style="1" customWidth="1"/>
    <col min="9" max="9" width="20.28125" style="1" customWidth="1"/>
    <col min="10" max="10" width="17.57421875" style="1" hidden="1" customWidth="1"/>
    <col min="11" max="11" width="21.421875" style="1" bestFit="1" customWidth="1"/>
    <col min="12" max="12" width="19.140625" style="1" hidden="1" customWidth="1"/>
    <col min="13" max="13" width="14.28125" style="1" hidden="1" customWidth="1"/>
    <col min="14" max="14" width="21.140625" style="1" customWidth="1"/>
    <col min="15" max="15" width="13.8515625" style="1" customWidth="1"/>
    <col min="16" max="16" width="19.28125" style="1" customWidth="1"/>
    <col min="17" max="17" width="50.28125" style="2" bestFit="1" customWidth="1"/>
    <col min="18" max="16384" width="9.140625" style="1" customWidth="1"/>
  </cols>
  <sheetData>
    <row r="1" spans="1:4" ht="13.5" customHeight="1">
      <c r="A1" s="535" t="s">
        <v>0</v>
      </c>
      <c r="B1" s="535"/>
      <c r="C1" s="536"/>
      <c r="D1" s="536"/>
    </row>
    <row r="2" spans="1:4" ht="15" customHeight="1" hidden="1">
      <c r="A2" s="535"/>
      <c r="B2" s="535"/>
      <c r="C2" s="536"/>
      <c r="D2" s="536"/>
    </row>
    <row r="3" spans="1:5" ht="18" customHeight="1">
      <c r="A3" s="537"/>
      <c r="B3" s="537"/>
      <c r="C3" s="537"/>
      <c r="D3" s="537"/>
      <c r="E3" s="537"/>
    </row>
    <row r="4" spans="1:17" ht="15" customHeight="1">
      <c r="A4" s="538" t="s">
        <v>294</v>
      </c>
      <c r="B4" s="538"/>
      <c r="C4" s="538"/>
      <c r="D4" s="538"/>
      <c r="E4" s="538"/>
      <c r="F4" s="538"/>
      <c r="G4" s="538"/>
      <c r="H4" s="538"/>
      <c r="I4" s="538"/>
      <c r="J4" s="538"/>
      <c r="K4" s="538"/>
      <c r="L4" s="538"/>
      <c r="M4" s="538"/>
      <c r="N4" s="538"/>
      <c r="O4" s="538"/>
      <c r="P4" s="538"/>
      <c r="Q4" s="538"/>
    </row>
    <row r="5" spans="1:4" ht="0.75" customHeight="1">
      <c r="A5" s="539"/>
      <c r="B5" s="539"/>
      <c r="C5" s="540"/>
      <c r="D5" s="540"/>
    </row>
    <row r="6" spans="1:17" ht="12.75" customHeight="1" thickBot="1">
      <c r="A6" s="541" t="s">
        <v>1</v>
      </c>
      <c r="B6" s="541"/>
      <c r="C6" s="541"/>
      <c r="D6" s="541"/>
      <c r="E6" s="541"/>
      <c r="F6" s="541"/>
      <c r="G6" s="541"/>
      <c r="H6" s="541"/>
      <c r="I6" s="541"/>
      <c r="J6" s="541"/>
      <c r="K6" s="541"/>
      <c r="L6" s="541"/>
      <c r="M6" s="541"/>
      <c r="N6" s="541"/>
      <c r="O6" s="541"/>
      <c r="P6" s="541"/>
      <c r="Q6" s="541"/>
    </row>
    <row r="7" spans="1:17" s="4" customFormat="1" ht="24" customHeight="1">
      <c r="A7" s="3"/>
      <c r="B7" s="524"/>
      <c r="C7" s="525" t="s">
        <v>2</v>
      </c>
      <c r="D7" s="527" t="s">
        <v>3</v>
      </c>
      <c r="E7" s="530">
        <v>2022</v>
      </c>
      <c r="F7" s="530"/>
      <c r="G7" s="530"/>
      <c r="H7" s="531"/>
      <c r="I7" s="532">
        <v>2023</v>
      </c>
      <c r="J7" s="530"/>
      <c r="K7" s="530"/>
      <c r="L7" s="530"/>
      <c r="M7" s="530"/>
      <c r="N7" s="530"/>
      <c r="O7" s="531"/>
      <c r="P7" s="533" t="s">
        <v>262</v>
      </c>
      <c r="Q7" s="510" t="s">
        <v>4</v>
      </c>
    </row>
    <row r="8" spans="1:17" s="4" customFormat="1" ht="24" customHeight="1">
      <c r="A8" s="512" t="s">
        <v>5</v>
      </c>
      <c r="B8" s="524"/>
      <c r="C8" s="526"/>
      <c r="D8" s="528"/>
      <c r="E8" s="514" t="s">
        <v>261</v>
      </c>
      <c r="F8" s="516" t="s">
        <v>295</v>
      </c>
      <c r="G8" s="514" t="s">
        <v>6</v>
      </c>
      <c r="H8" s="519" t="s">
        <v>7</v>
      </c>
      <c r="I8" s="516" t="s">
        <v>8</v>
      </c>
      <c r="J8" s="516" t="s">
        <v>9</v>
      </c>
      <c r="K8" s="516" t="s">
        <v>295</v>
      </c>
      <c r="L8" s="523" t="s">
        <v>10</v>
      </c>
      <c r="M8" s="516" t="s">
        <v>11</v>
      </c>
      <c r="N8" s="523" t="s">
        <v>12</v>
      </c>
      <c r="O8" s="516" t="s">
        <v>13</v>
      </c>
      <c r="P8" s="534"/>
      <c r="Q8" s="511"/>
    </row>
    <row r="9" spans="1:17" s="4" customFormat="1" ht="57.75" customHeight="1">
      <c r="A9" s="513"/>
      <c r="B9" s="524"/>
      <c r="C9" s="526"/>
      <c r="D9" s="529"/>
      <c r="E9" s="515"/>
      <c r="F9" s="517"/>
      <c r="G9" s="518"/>
      <c r="H9" s="520"/>
      <c r="I9" s="517"/>
      <c r="J9" s="517"/>
      <c r="K9" s="517"/>
      <c r="L9" s="518"/>
      <c r="M9" s="517"/>
      <c r="N9" s="518"/>
      <c r="O9" s="517"/>
      <c r="P9" s="534"/>
      <c r="Q9" s="511"/>
    </row>
    <row r="10" spans="1:17" s="4" customFormat="1" ht="21" customHeight="1">
      <c r="A10" s="344"/>
      <c r="B10" s="6"/>
      <c r="C10" s="7">
        <v>1</v>
      </c>
      <c r="D10" s="345">
        <v>2</v>
      </c>
      <c r="E10" s="345">
        <v>9</v>
      </c>
      <c r="F10" s="345">
        <v>9</v>
      </c>
      <c r="G10" s="345">
        <v>5</v>
      </c>
      <c r="H10" s="345">
        <v>6</v>
      </c>
      <c r="I10" s="345">
        <v>7</v>
      </c>
      <c r="J10" s="345">
        <v>8</v>
      </c>
      <c r="K10" s="345">
        <v>9</v>
      </c>
      <c r="L10" s="345">
        <v>10</v>
      </c>
      <c r="M10" s="345">
        <v>11</v>
      </c>
      <c r="N10" s="345">
        <v>12</v>
      </c>
      <c r="O10" s="345">
        <v>13</v>
      </c>
      <c r="P10" s="345">
        <v>14</v>
      </c>
      <c r="Q10" s="345">
        <v>15</v>
      </c>
    </row>
    <row r="11" spans="1:17" s="16" customFormat="1" ht="33" customHeight="1" thickBot="1">
      <c r="A11" s="9" t="s">
        <v>14</v>
      </c>
      <c r="B11" s="10" t="s">
        <v>15</v>
      </c>
      <c r="C11" s="11" t="s">
        <v>16</v>
      </c>
      <c r="D11" s="12" t="s">
        <v>14</v>
      </c>
      <c r="E11" s="13">
        <f>E12+E80</f>
        <v>426113235.23999995</v>
      </c>
      <c r="F11" s="13">
        <f>F12+F80</f>
        <v>175046906.08</v>
      </c>
      <c r="G11" s="13">
        <f>F11-E11</f>
        <v>-251066329.15999994</v>
      </c>
      <c r="H11" s="14">
        <f>F11/E11</f>
        <v>0.4107990355695201</v>
      </c>
      <c r="I11" s="13">
        <f>I12+I80</f>
        <v>449770399.72</v>
      </c>
      <c r="J11" s="13">
        <f>J12+J80</f>
        <v>16636685.38</v>
      </c>
      <c r="K11" s="13">
        <f>K12+K80</f>
        <v>209413606.27</v>
      </c>
      <c r="L11" s="13">
        <f>K11-J11</f>
        <v>192776920.89000002</v>
      </c>
      <c r="M11" s="14">
        <f>K11/J11</f>
        <v>12.587459670407014</v>
      </c>
      <c r="N11" s="13">
        <f>K11-I11</f>
        <v>-240356793.45000002</v>
      </c>
      <c r="O11" s="14">
        <f>K11/I11</f>
        <v>0.4656011298217231</v>
      </c>
      <c r="P11" s="13">
        <f>K11-F11</f>
        <v>34366700.19</v>
      </c>
      <c r="Q11" s="15"/>
    </row>
    <row r="12" spans="1:17" s="16" customFormat="1" ht="33" customHeight="1">
      <c r="A12" s="9"/>
      <c r="B12" s="17" t="s">
        <v>17</v>
      </c>
      <c r="C12" s="18" t="s">
        <v>18</v>
      </c>
      <c r="D12" s="19"/>
      <c r="E12" s="20">
        <f>E13+E39+E40+E62+E66+E76</f>
        <v>352618682.34999996</v>
      </c>
      <c r="F12" s="20">
        <f>F13+F39+F40+F62+F66+F76</f>
        <v>143945559.56</v>
      </c>
      <c r="G12" s="20">
        <f>F12-E12</f>
        <v>-208673122.78999996</v>
      </c>
      <c r="H12" s="21">
        <f>F12/E12</f>
        <v>0.40821875517396283</v>
      </c>
      <c r="I12" s="20">
        <f>I13+I39+I40+I62+I66+I76</f>
        <v>320644567.63</v>
      </c>
      <c r="J12" s="20">
        <f>J13+J39+J40+J62+J66+J76</f>
        <v>14406368.9</v>
      </c>
      <c r="K12" s="20">
        <f>K13+K39+K40+K62+K66+K76</f>
        <v>133540330.94000001</v>
      </c>
      <c r="L12" s="22">
        <f>K12-J12</f>
        <v>119133962.04</v>
      </c>
      <c r="M12" s="21">
        <f>I12/G12</f>
        <v>-1.536587766277325</v>
      </c>
      <c r="N12" s="22">
        <f>K12-I12</f>
        <v>-187104236.69</v>
      </c>
      <c r="O12" s="21">
        <f>K12/I12</f>
        <v>0.4164746402131335</v>
      </c>
      <c r="P12" s="20">
        <f>K12-F12</f>
        <v>-10405228.61999999</v>
      </c>
      <c r="Q12" s="23"/>
    </row>
    <row r="13" spans="1:17" s="32" customFormat="1" ht="52.5" customHeight="1" outlineLevel="2">
      <c r="A13" s="24" t="s">
        <v>19</v>
      </c>
      <c r="B13" s="25" t="s">
        <v>20</v>
      </c>
      <c r="C13" s="26" t="s">
        <v>21</v>
      </c>
      <c r="D13" s="27" t="s">
        <v>19</v>
      </c>
      <c r="E13" s="141">
        <v>190630093.23</v>
      </c>
      <c r="F13" s="343">
        <v>78767199.78</v>
      </c>
      <c r="G13" s="145">
        <f>F13-E13</f>
        <v>-111862893.44999999</v>
      </c>
      <c r="H13" s="29">
        <f>F13/E13</f>
        <v>0.41319394249556074</v>
      </c>
      <c r="I13" s="28">
        <v>179717500</v>
      </c>
      <c r="J13" s="30">
        <v>8290000</v>
      </c>
      <c r="K13" s="141">
        <f>79368667.94+68136.81</f>
        <v>79436804.75</v>
      </c>
      <c r="L13" s="28">
        <f>K13-J13</f>
        <v>71146804.75</v>
      </c>
      <c r="M13" s="29">
        <f>K13/J13</f>
        <v>9.58224424004825</v>
      </c>
      <c r="N13" s="28">
        <f>K13-I13</f>
        <v>-100280695.25</v>
      </c>
      <c r="O13" s="29">
        <f aca="true" t="shared" si="0" ref="O13:O78">K13/I13</f>
        <v>0.442009290970551</v>
      </c>
      <c r="P13" s="28">
        <f>K13-F13</f>
        <v>669604.9699999988</v>
      </c>
      <c r="Q13" s="31" t="s">
        <v>266</v>
      </c>
    </row>
    <row r="14" spans="1:17" s="32" customFormat="1" ht="6.75" customHeight="1" outlineLevel="2">
      <c r="A14" s="24"/>
      <c r="B14" s="33"/>
      <c r="C14" s="34"/>
      <c r="D14" s="35"/>
      <c r="E14" s="42"/>
      <c r="F14" s="39"/>
      <c r="G14" s="146"/>
      <c r="H14" s="38"/>
      <c r="I14" s="36"/>
      <c r="J14" s="142"/>
      <c r="K14" s="142"/>
      <c r="L14" s="36"/>
      <c r="M14" s="38"/>
      <c r="N14" s="36"/>
      <c r="O14" s="38"/>
      <c r="P14" s="36"/>
      <c r="Q14" s="40"/>
    </row>
    <row r="15" spans="1:17" s="32" customFormat="1" ht="15.75" customHeight="1" hidden="1" outlineLevel="3">
      <c r="A15" s="24" t="s">
        <v>22</v>
      </c>
      <c r="B15" s="33"/>
      <c r="C15" s="41" t="s">
        <v>23</v>
      </c>
      <c r="D15" s="143" t="s">
        <v>22</v>
      </c>
      <c r="E15" s="51"/>
      <c r="F15" s="42"/>
      <c r="G15" s="43">
        <f aca="true" t="shared" si="1" ref="G15:G40">F15-E15</f>
        <v>0</v>
      </c>
      <c r="H15" s="44" t="e">
        <f aca="true" t="shared" si="2" ref="H15:H40">F15/E15</f>
        <v>#DIV/0!</v>
      </c>
      <c r="I15" s="42">
        <v>148555700</v>
      </c>
      <c r="J15" s="42"/>
      <c r="K15" s="42"/>
      <c r="L15" s="42"/>
      <c r="M15" s="45" t="e">
        <f aca="true" t="shared" si="3" ref="M15:M75">I15/G15</f>
        <v>#DIV/0!</v>
      </c>
      <c r="N15" s="42"/>
      <c r="O15" s="45">
        <f t="shared" si="0"/>
        <v>0</v>
      </c>
      <c r="P15" s="46">
        <f aca="true" t="shared" si="4" ref="P15:P40">K15-F15</f>
        <v>0</v>
      </c>
      <c r="Q15" s="47"/>
    </row>
    <row r="16" spans="1:17" s="32" customFormat="1" ht="210" customHeight="1" hidden="1" outlineLevel="4">
      <c r="A16" s="24" t="s">
        <v>24</v>
      </c>
      <c r="B16" s="48"/>
      <c r="C16" s="49" t="s">
        <v>25</v>
      </c>
      <c r="D16" s="144" t="s">
        <v>24</v>
      </c>
      <c r="E16" s="51"/>
      <c r="F16" s="51"/>
      <c r="G16" s="52">
        <f t="shared" si="1"/>
        <v>0</v>
      </c>
      <c r="H16" s="53" t="e">
        <f t="shared" si="2"/>
        <v>#DIV/0!</v>
      </c>
      <c r="I16" s="51">
        <v>148555700</v>
      </c>
      <c r="J16" s="51"/>
      <c r="K16" s="51"/>
      <c r="L16" s="51"/>
      <c r="M16" s="54" t="e">
        <f t="shared" si="3"/>
        <v>#DIV/0!</v>
      </c>
      <c r="N16" s="51"/>
      <c r="O16" s="54">
        <f t="shared" si="0"/>
        <v>0</v>
      </c>
      <c r="P16" s="55">
        <f t="shared" si="4"/>
        <v>0</v>
      </c>
      <c r="Q16" s="56"/>
    </row>
    <row r="17" spans="1:17" s="32" customFormat="1" ht="210" customHeight="1" hidden="1" outlineLevel="5">
      <c r="A17" s="24" t="s">
        <v>24</v>
      </c>
      <c r="B17" s="48"/>
      <c r="C17" s="49" t="s">
        <v>26</v>
      </c>
      <c r="D17" s="144" t="s">
        <v>24</v>
      </c>
      <c r="E17" s="51"/>
      <c r="F17" s="51"/>
      <c r="G17" s="52">
        <f t="shared" si="1"/>
        <v>0</v>
      </c>
      <c r="H17" s="53" t="e">
        <f t="shared" si="2"/>
        <v>#DIV/0!</v>
      </c>
      <c r="I17" s="51">
        <v>148555700</v>
      </c>
      <c r="J17" s="51"/>
      <c r="K17" s="51"/>
      <c r="L17" s="51"/>
      <c r="M17" s="54" t="e">
        <f t="shared" si="3"/>
        <v>#DIV/0!</v>
      </c>
      <c r="N17" s="51"/>
      <c r="O17" s="54">
        <f t="shared" si="0"/>
        <v>0</v>
      </c>
      <c r="P17" s="55">
        <f t="shared" si="4"/>
        <v>0</v>
      </c>
      <c r="Q17" s="56"/>
    </row>
    <row r="18" spans="1:17" s="32" customFormat="1" ht="210" customHeight="1" hidden="1" outlineLevel="5">
      <c r="A18" s="24" t="s">
        <v>27</v>
      </c>
      <c r="B18" s="48"/>
      <c r="C18" s="49" t="s">
        <v>28</v>
      </c>
      <c r="D18" s="144" t="s">
        <v>27</v>
      </c>
      <c r="E18" s="51"/>
      <c r="F18" s="51"/>
      <c r="G18" s="52">
        <f t="shared" si="1"/>
        <v>0</v>
      </c>
      <c r="H18" s="53" t="e">
        <f t="shared" si="2"/>
        <v>#DIV/0!</v>
      </c>
      <c r="I18" s="51">
        <v>0</v>
      </c>
      <c r="J18" s="51"/>
      <c r="K18" s="51"/>
      <c r="L18" s="51"/>
      <c r="M18" s="54" t="e">
        <f t="shared" si="3"/>
        <v>#DIV/0!</v>
      </c>
      <c r="N18" s="51"/>
      <c r="O18" s="54" t="e">
        <f t="shared" si="0"/>
        <v>#DIV/0!</v>
      </c>
      <c r="P18" s="55">
        <f t="shared" si="4"/>
        <v>0</v>
      </c>
      <c r="Q18" s="56"/>
    </row>
    <row r="19" spans="1:17" s="32" customFormat="1" ht="210" customHeight="1" hidden="1" outlineLevel="5">
      <c r="A19" s="24" t="s">
        <v>29</v>
      </c>
      <c r="B19" s="48"/>
      <c r="C19" s="49" t="s">
        <v>26</v>
      </c>
      <c r="D19" s="144" t="s">
        <v>29</v>
      </c>
      <c r="E19" s="51"/>
      <c r="F19" s="51"/>
      <c r="G19" s="52">
        <f t="shared" si="1"/>
        <v>0</v>
      </c>
      <c r="H19" s="53" t="e">
        <f t="shared" si="2"/>
        <v>#DIV/0!</v>
      </c>
      <c r="I19" s="51">
        <v>0</v>
      </c>
      <c r="J19" s="51"/>
      <c r="K19" s="51"/>
      <c r="L19" s="51"/>
      <c r="M19" s="54" t="e">
        <f t="shared" si="3"/>
        <v>#DIV/0!</v>
      </c>
      <c r="N19" s="51"/>
      <c r="O19" s="54" t="e">
        <f t="shared" si="0"/>
        <v>#DIV/0!</v>
      </c>
      <c r="P19" s="55">
        <f t="shared" si="4"/>
        <v>0</v>
      </c>
      <c r="Q19" s="56"/>
    </row>
    <row r="20" spans="1:17" s="32" customFormat="1" ht="210" customHeight="1" hidden="1" outlineLevel="5">
      <c r="A20" s="24" t="s">
        <v>30</v>
      </c>
      <c r="B20" s="48"/>
      <c r="C20" s="49" t="s">
        <v>26</v>
      </c>
      <c r="D20" s="144" t="s">
        <v>30</v>
      </c>
      <c r="E20" s="51"/>
      <c r="F20" s="51"/>
      <c r="G20" s="52">
        <f t="shared" si="1"/>
        <v>0</v>
      </c>
      <c r="H20" s="53" t="e">
        <f t="shared" si="2"/>
        <v>#DIV/0!</v>
      </c>
      <c r="I20" s="51">
        <v>0</v>
      </c>
      <c r="J20" s="51"/>
      <c r="K20" s="51"/>
      <c r="L20" s="51"/>
      <c r="M20" s="54" t="e">
        <f t="shared" si="3"/>
        <v>#DIV/0!</v>
      </c>
      <c r="N20" s="51"/>
      <c r="O20" s="54" t="e">
        <f t="shared" si="0"/>
        <v>#DIV/0!</v>
      </c>
      <c r="P20" s="55">
        <f t="shared" si="4"/>
        <v>0</v>
      </c>
      <c r="Q20" s="56"/>
    </row>
    <row r="21" spans="1:17" s="32" customFormat="1" ht="210" customHeight="1" hidden="1" outlineLevel="5">
      <c r="A21" s="24" t="s">
        <v>31</v>
      </c>
      <c r="B21" s="48"/>
      <c r="C21" s="49" t="s">
        <v>28</v>
      </c>
      <c r="D21" s="144" t="s">
        <v>31</v>
      </c>
      <c r="E21" s="51"/>
      <c r="F21" s="51"/>
      <c r="G21" s="52">
        <f t="shared" si="1"/>
        <v>0</v>
      </c>
      <c r="H21" s="53" t="e">
        <f t="shared" si="2"/>
        <v>#DIV/0!</v>
      </c>
      <c r="I21" s="51">
        <v>0</v>
      </c>
      <c r="J21" s="51"/>
      <c r="K21" s="51"/>
      <c r="L21" s="51"/>
      <c r="M21" s="54" t="e">
        <f t="shared" si="3"/>
        <v>#DIV/0!</v>
      </c>
      <c r="N21" s="51"/>
      <c r="O21" s="54" t="e">
        <f t="shared" si="0"/>
        <v>#DIV/0!</v>
      </c>
      <c r="P21" s="55">
        <f t="shared" si="4"/>
        <v>0</v>
      </c>
      <c r="Q21" s="56"/>
    </row>
    <row r="22" spans="1:17" s="32" customFormat="1" ht="15.75" customHeight="1" hidden="1" outlineLevel="3">
      <c r="A22" s="24" t="s">
        <v>32</v>
      </c>
      <c r="B22" s="48"/>
      <c r="C22" s="49" t="s">
        <v>23</v>
      </c>
      <c r="D22" s="144" t="s">
        <v>32</v>
      </c>
      <c r="E22" s="51"/>
      <c r="F22" s="51"/>
      <c r="G22" s="52">
        <f t="shared" si="1"/>
        <v>0</v>
      </c>
      <c r="H22" s="53" t="e">
        <f t="shared" si="2"/>
        <v>#DIV/0!</v>
      </c>
      <c r="I22" s="51">
        <v>750300</v>
      </c>
      <c r="J22" s="51"/>
      <c r="K22" s="51"/>
      <c r="L22" s="51"/>
      <c r="M22" s="54" t="e">
        <f t="shared" si="3"/>
        <v>#DIV/0!</v>
      </c>
      <c r="N22" s="51"/>
      <c r="O22" s="54">
        <f t="shared" si="0"/>
        <v>0</v>
      </c>
      <c r="P22" s="55">
        <f t="shared" si="4"/>
        <v>0</v>
      </c>
      <c r="Q22" s="56"/>
    </row>
    <row r="23" spans="1:17" s="32" customFormat="1" ht="330" customHeight="1" hidden="1" outlineLevel="4">
      <c r="A23" s="24" t="s">
        <v>33</v>
      </c>
      <c r="B23" s="48"/>
      <c r="C23" s="49" t="s">
        <v>34</v>
      </c>
      <c r="D23" s="144" t="s">
        <v>33</v>
      </c>
      <c r="E23" s="51"/>
      <c r="F23" s="51"/>
      <c r="G23" s="52">
        <f t="shared" si="1"/>
        <v>0</v>
      </c>
      <c r="H23" s="53" t="e">
        <f t="shared" si="2"/>
        <v>#DIV/0!</v>
      </c>
      <c r="I23" s="51">
        <v>750300</v>
      </c>
      <c r="J23" s="51"/>
      <c r="K23" s="51"/>
      <c r="L23" s="51"/>
      <c r="M23" s="54" t="e">
        <f t="shared" si="3"/>
        <v>#DIV/0!</v>
      </c>
      <c r="N23" s="51"/>
      <c r="O23" s="54">
        <f t="shared" si="0"/>
        <v>0</v>
      </c>
      <c r="P23" s="55">
        <f t="shared" si="4"/>
        <v>0</v>
      </c>
      <c r="Q23" s="56"/>
    </row>
    <row r="24" spans="1:17" s="32" customFormat="1" ht="330" customHeight="1" hidden="1" outlineLevel="5">
      <c r="A24" s="24" t="s">
        <v>33</v>
      </c>
      <c r="B24" s="48"/>
      <c r="C24" s="49" t="s">
        <v>35</v>
      </c>
      <c r="D24" s="144" t="s">
        <v>33</v>
      </c>
      <c r="E24" s="51"/>
      <c r="F24" s="51"/>
      <c r="G24" s="52">
        <f t="shared" si="1"/>
        <v>0</v>
      </c>
      <c r="H24" s="53" t="e">
        <f t="shared" si="2"/>
        <v>#DIV/0!</v>
      </c>
      <c r="I24" s="51">
        <v>750300</v>
      </c>
      <c r="J24" s="51"/>
      <c r="K24" s="51"/>
      <c r="L24" s="51"/>
      <c r="M24" s="54" t="e">
        <f t="shared" si="3"/>
        <v>#DIV/0!</v>
      </c>
      <c r="N24" s="51"/>
      <c r="O24" s="54">
        <f t="shared" si="0"/>
        <v>0</v>
      </c>
      <c r="P24" s="55">
        <f t="shared" si="4"/>
        <v>0</v>
      </c>
      <c r="Q24" s="56"/>
    </row>
    <row r="25" spans="1:17" s="32" customFormat="1" ht="330" customHeight="1" hidden="1" outlineLevel="5">
      <c r="A25" s="24" t="s">
        <v>36</v>
      </c>
      <c r="B25" s="48"/>
      <c r="C25" s="49" t="s">
        <v>35</v>
      </c>
      <c r="D25" s="144" t="s">
        <v>36</v>
      </c>
      <c r="E25" s="51"/>
      <c r="F25" s="51"/>
      <c r="G25" s="52">
        <f t="shared" si="1"/>
        <v>0</v>
      </c>
      <c r="H25" s="53" t="e">
        <f t="shared" si="2"/>
        <v>#DIV/0!</v>
      </c>
      <c r="I25" s="51">
        <v>0</v>
      </c>
      <c r="J25" s="51"/>
      <c r="K25" s="51"/>
      <c r="L25" s="51"/>
      <c r="M25" s="54" t="e">
        <f t="shared" si="3"/>
        <v>#DIV/0!</v>
      </c>
      <c r="N25" s="51"/>
      <c r="O25" s="54" t="e">
        <f t="shared" si="0"/>
        <v>#DIV/0!</v>
      </c>
      <c r="P25" s="55">
        <f t="shared" si="4"/>
        <v>0</v>
      </c>
      <c r="Q25" s="56"/>
    </row>
    <row r="26" spans="1:17" s="32" customFormat="1" ht="15.75" customHeight="1" hidden="1" outlineLevel="5">
      <c r="A26" s="24" t="s">
        <v>37</v>
      </c>
      <c r="B26" s="48"/>
      <c r="C26" s="49">
        <v>1.82101020200121E+19</v>
      </c>
      <c r="D26" s="144" t="s">
        <v>37</v>
      </c>
      <c r="E26" s="51"/>
      <c r="F26" s="51"/>
      <c r="G26" s="52">
        <f t="shared" si="1"/>
        <v>0</v>
      </c>
      <c r="H26" s="53" t="e">
        <f t="shared" si="2"/>
        <v>#DIV/0!</v>
      </c>
      <c r="I26" s="51">
        <v>0</v>
      </c>
      <c r="J26" s="51"/>
      <c r="K26" s="51"/>
      <c r="L26" s="51"/>
      <c r="M26" s="54" t="e">
        <f t="shared" si="3"/>
        <v>#DIV/0!</v>
      </c>
      <c r="N26" s="51"/>
      <c r="O26" s="54" t="e">
        <f t="shared" si="0"/>
        <v>#DIV/0!</v>
      </c>
      <c r="P26" s="55">
        <f t="shared" si="4"/>
        <v>0</v>
      </c>
      <c r="Q26" s="56"/>
    </row>
    <row r="27" spans="1:17" s="32" customFormat="1" ht="330" customHeight="1" hidden="1" outlineLevel="5">
      <c r="A27" s="24" t="s">
        <v>38</v>
      </c>
      <c r="B27" s="48"/>
      <c r="C27" s="49" t="s">
        <v>35</v>
      </c>
      <c r="D27" s="144" t="s">
        <v>38</v>
      </c>
      <c r="E27" s="51"/>
      <c r="F27" s="51"/>
      <c r="G27" s="52">
        <f t="shared" si="1"/>
        <v>0</v>
      </c>
      <c r="H27" s="53" t="e">
        <f t="shared" si="2"/>
        <v>#DIV/0!</v>
      </c>
      <c r="I27" s="51">
        <v>0</v>
      </c>
      <c r="J27" s="51"/>
      <c r="K27" s="51"/>
      <c r="L27" s="51"/>
      <c r="M27" s="54" t="e">
        <f t="shared" si="3"/>
        <v>#DIV/0!</v>
      </c>
      <c r="N27" s="51"/>
      <c r="O27" s="54" t="e">
        <f t="shared" si="0"/>
        <v>#DIV/0!</v>
      </c>
      <c r="P27" s="55">
        <f t="shared" si="4"/>
        <v>0</v>
      </c>
      <c r="Q27" s="56"/>
    </row>
    <row r="28" spans="1:17" s="32" customFormat="1" ht="15.75" customHeight="1" hidden="1" outlineLevel="3">
      <c r="A28" s="24" t="s">
        <v>39</v>
      </c>
      <c r="B28" s="48"/>
      <c r="C28" s="49" t="s">
        <v>23</v>
      </c>
      <c r="D28" s="144" t="s">
        <v>39</v>
      </c>
      <c r="E28" s="51"/>
      <c r="F28" s="51"/>
      <c r="G28" s="52">
        <f t="shared" si="1"/>
        <v>0</v>
      </c>
      <c r="H28" s="53" t="e">
        <f t="shared" si="2"/>
        <v>#DIV/0!</v>
      </c>
      <c r="I28" s="51">
        <v>450200</v>
      </c>
      <c r="J28" s="51"/>
      <c r="K28" s="51"/>
      <c r="L28" s="51"/>
      <c r="M28" s="54" t="e">
        <f t="shared" si="3"/>
        <v>#DIV/0!</v>
      </c>
      <c r="N28" s="51"/>
      <c r="O28" s="54">
        <f t="shared" si="0"/>
        <v>0</v>
      </c>
      <c r="P28" s="55">
        <f t="shared" si="4"/>
        <v>0</v>
      </c>
      <c r="Q28" s="56"/>
    </row>
    <row r="29" spans="1:17" s="32" customFormat="1" ht="120" customHeight="1" hidden="1" outlineLevel="4">
      <c r="A29" s="24" t="s">
        <v>40</v>
      </c>
      <c r="B29" s="48"/>
      <c r="C29" s="49" t="s">
        <v>41</v>
      </c>
      <c r="D29" s="144" t="s">
        <v>40</v>
      </c>
      <c r="E29" s="51"/>
      <c r="F29" s="51"/>
      <c r="G29" s="52">
        <f t="shared" si="1"/>
        <v>0</v>
      </c>
      <c r="H29" s="53" t="e">
        <f t="shared" si="2"/>
        <v>#DIV/0!</v>
      </c>
      <c r="I29" s="51">
        <v>450200</v>
      </c>
      <c r="J29" s="51"/>
      <c r="K29" s="51"/>
      <c r="L29" s="51"/>
      <c r="M29" s="54" t="e">
        <f t="shared" si="3"/>
        <v>#DIV/0!</v>
      </c>
      <c r="N29" s="51"/>
      <c r="O29" s="54">
        <f t="shared" si="0"/>
        <v>0</v>
      </c>
      <c r="P29" s="55">
        <f t="shared" si="4"/>
        <v>0</v>
      </c>
      <c r="Q29" s="56"/>
    </row>
    <row r="30" spans="1:17" s="32" customFormat="1" ht="120" customHeight="1" hidden="1" outlineLevel="5">
      <c r="A30" s="24" t="s">
        <v>40</v>
      </c>
      <c r="B30" s="48"/>
      <c r="C30" s="49" t="s">
        <v>42</v>
      </c>
      <c r="D30" s="144" t="s">
        <v>40</v>
      </c>
      <c r="E30" s="51"/>
      <c r="F30" s="51"/>
      <c r="G30" s="52">
        <f t="shared" si="1"/>
        <v>0</v>
      </c>
      <c r="H30" s="53" t="e">
        <f t="shared" si="2"/>
        <v>#DIV/0!</v>
      </c>
      <c r="I30" s="51">
        <v>450200</v>
      </c>
      <c r="J30" s="51"/>
      <c r="K30" s="51"/>
      <c r="L30" s="51"/>
      <c r="M30" s="54" t="e">
        <f t="shared" si="3"/>
        <v>#DIV/0!</v>
      </c>
      <c r="N30" s="51"/>
      <c r="O30" s="54">
        <f t="shared" si="0"/>
        <v>0</v>
      </c>
      <c r="P30" s="55">
        <f t="shared" si="4"/>
        <v>0</v>
      </c>
      <c r="Q30" s="56"/>
    </row>
    <row r="31" spans="1:17" s="32" customFormat="1" ht="120" customHeight="1" hidden="1" outlineLevel="5">
      <c r="A31" s="24" t="s">
        <v>43</v>
      </c>
      <c r="B31" s="48"/>
      <c r="C31" s="49" t="s">
        <v>44</v>
      </c>
      <c r="D31" s="144" t="s">
        <v>43</v>
      </c>
      <c r="E31" s="51"/>
      <c r="F31" s="51"/>
      <c r="G31" s="52">
        <f t="shared" si="1"/>
        <v>0</v>
      </c>
      <c r="H31" s="53" t="e">
        <f t="shared" si="2"/>
        <v>#DIV/0!</v>
      </c>
      <c r="I31" s="51">
        <v>0</v>
      </c>
      <c r="J31" s="51"/>
      <c r="K31" s="51"/>
      <c r="L31" s="51"/>
      <c r="M31" s="54" t="e">
        <f t="shared" si="3"/>
        <v>#DIV/0!</v>
      </c>
      <c r="N31" s="51"/>
      <c r="O31" s="54" t="e">
        <f t="shared" si="0"/>
        <v>#DIV/0!</v>
      </c>
      <c r="P31" s="55">
        <f t="shared" si="4"/>
        <v>0</v>
      </c>
      <c r="Q31" s="56"/>
    </row>
    <row r="32" spans="1:17" s="32" customFormat="1" ht="15.75" customHeight="1" hidden="1" outlineLevel="5">
      <c r="A32" s="24" t="s">
        <v>45</v>
      </c>
      <c r="B32" s="48"/>
      <c r="C32" s="49">
        <v>1.82101020300121E+19</v>
      </c>
      <c r="D32" s="144" t="s">
        <v>45</v>
      </c>
      <c r="E32" s="51"/>
      <c r="F32" s="51"/>
      <c r="G32" s="52">
        <f t="shared" si="1"/>
        <v>0</v>
      </c>
      <c r="H32" s="53" t="e">
        <f t="shared" si="2"/>
        <v>#DIV/0!</v>
      </c>
      <c r="I32" s="51">
        <v>0</v>
      </c>
      <c r="J32" s="51"/>
      <c r="K32" s="51"/>
      <c r="L32" s="51"/>
      <c r="M32" s="54" t="e">
        <f t="shared" si="3"/>
        <v>#DIV/0!</v>
      </c>
      <c r="N32" s="51"/>
      <c r="O32" s="54" t="e">
        <f t="shared" si="0"/>
        <v>#DIV/0!</v>
      </c>
      <c r="P32" s="55">
        <f t="shared" si="4"/>
        <v>0</v>
      </c>
      <c r="Q32" s="56"/>
    </row>
    <row r="33" spans="1:17" s="32" customFormat="1" ht="120" customHeight="1" hidden="1" outlineLevel="5">
      <c r="A33" s="24" t="s">
        <v>46</v>
      </c>
      <c r="B33" s="48"/>
      <c r="C33" s="49" t="s">
        <v>44</v>
      </c>
      <c r="D33" s="144" t="s">
        <v>46</v>
      </c>
      <c r="E33" s="51"/>
      <c r="F33" s="51"/>
      <c r="G33" s="52">
        <f t="shared" si="1"/>
        <v>0</v>
      </c>
      <c r="H33" s="53" t="e">
        <f t="shared" si="2"/>
        <v>#DIV/0!</v>
      </c>
      <c r="I33" s="51">
        <v>0</v>
      </c>
      <c r="J33" s="51"/>
      <c r="K33" s="51"/>
      <c r="L33" s="51"/>
      <c r="M33" s="54" t="e">
        <f t="shared" si="3"/>
        <v>#DIV/0!</v>
      </c>
      <c r="N33" s="51"/>
      <c r="O33" s="54" t="e">
        <f t="shared" si="0"/>
        <v>#DIV/0!</v>
      </c>
      <c r="P33" s="55">
        <f t="shared" si="4"/>
        <v>0</v>
      </c>
      <c r="Q33" s="56"/>
    </row>
    <row r="34" spans="1:17" s="32" customFormat="1" ht="120" customHeight="1" hidden="1" outlineLevel="5">
      <c r="A34" s="24" t="s">
        <v>47</v>
      </c>
      <c r="B34" s="48"/>
      <c r="C34" s="49" t="s">
        <v>44</v>
      </c>
      <c r="D34" s="144" t="s">
        <v>47</v>
      </c>
      <c r="E34" s="51"/>
      <c r="F34" s="51"/>
      <c r="G34" s="52">
        <f t="shared" si="1"/>
        <v>0</v>
      </c>
      <c r="H34" s="53" t="e">
        <f t="shared" si="2"/>
        <v>#DIV/0!</v>
      </c>
      <c r="I34" s="51">
        <v>0</v>
      </c>
      <c r="J34" s="51"/>
      <c r="K34" s="51"/>
      <c r="L34" s="51"/>
      <c r="M34" s="54" t="e">
        <f t="shared" si="3"/>
        <v>#DIV/0!</v>
      </c>
      <c r="N34" s="51"/>
      <c r="O34" s="54" t="e">
        <f t="shared" si="0"/>
        <v>#DIV/0!</v>
      </c>
      <c r="P34" s="55">
        <f t="shared" si="4"/>
        <v>0</v>
      </c>
      <c r="Q34" s="56"/>
    </row>
    <row r="35" spans="1:17" s="32" customFormat="1" ht="15.75" customHeight="1" hidden="1" outlineLevel="3">
      <c r="A35" s="24" t="s">
        <v>48</v>
      </c>
      <c r="B35" s="48"/>
      <c r="C35" s="49" t="s">
        <v>23</v>
      </c>
      <c r="D35" s="144" t="s">
        <v>48</v>
      </c>
      <c r="E35" s="51"/>
      <c r="F35" s="51"/>
      <c r="G35" s="52">
        <f t="shared" si="1"/>
        <v>0</v>
      </c>
      <c r="H35" s="53" t="e">
        <f t="shared" si="2"/>
        <v>#DIV/0!</v>
      </c>
      <c r="I35" s="51">
        <v>300100</v>
      </c>
      <c r="J35" s="51"/>
      <c r="K35" s="51"/>
      <c r="L35" s="51"/>
      <c r="M35" s="54" t="e">
        <f t="shared" si="3"/>
        <v>#DIV/0!</v>
      </c>
      <c r="N35" s="51"/>
      <c r="O35" s="54">
        <f t="shared" si="0"/>
        <v>0</v>
      </c>
      <c r="P35" s="55">
        <f t="shared" si="4"/>
        <v>0</v>
      </c>
      <c r="Q35" s="56"/>
    </row>
    <row r="36" spans="1:17" s="32" customFormat="1" ht="270" customHeight="1" hidden="1" outlineLevel="4">
      <c r="A36" s="24" t="s">
        <v>49</v>
      </c>
      <c r="B36" s="48"/>
      <c r="C36" s="49" t="s">
        <v>50</v>
      </c>
      <c r="D36" s="144" t="s">
        <v>49</v>
      </c>
      <c r="E36" s="51"/>
      <c r="F36" s="51"/>
      <c r="G36" s="52">
        <f t="shared" si="1"/>
        <v>0</v>
      </c>
      <c r="H36" s="53" t="e">
        <f t="shared" si="2"/>
        <v>#DIV/0!</v>
      </c>
      <c r="I36" s="51">
        <v>300100</v>
      </c>
      <c r="J36" s="51"/>
      <c r="K36" s="51"/>
      <c r="L36" s="51"/>
      <c r="M36" s="54" t="e">
        <f t="shared" si="3"/>
        <v>#DIV/0!</v>
      </c>
      <c r="N36" s="51"/>
      <c r="O36" s="54">
        <f t="shared" si="0"/>
        <v>0</v>
      </c>
      <c r="P36" s="55">
        <f t="shared" si="4"/>
        <v>0</v>
      </c>
      <c r="Q36" s="56"/>
    </row>
    <row r="37" spans="1:17" s="32" customFormat="1" ht="270" customHeight="1" hidden="1" outlineLevel="5">
      <c r="A37" s="24" t="s">
        <v>49</v>
      </c>
      <c r="B37" s="48"/>
      <c r="C37" s="49" t="s">
        <v>51</v>
      </c>
      <c r="D37" s="144" t="s">
        <v>49</v>
      </c>
      <c r="E37" s="51"/>
      <c r="F37" s="51"/>
      <c r="G37" s="52">
        <f t="shared" si="1"/>
        <v>0</v>
      </c>
      <c r="H37" s="53" t="e">
        <f t="shared" si="2"/>
        <v>#DIV/0!</v>
      </c>
      <c r="I37" s="51">
        <v>300100</v>
      </c>
      <c r="J37" s="51"/>
      <c r="K37" s="51"/>
      <c r="L37" s="51"/>
      <c r="M37" s="54" t="e">
        <f t="shared" si="3"/>
        <v>#DIV/0!</v>
      </c>
      <c r="N37" s="51"/>
      <c r="O37" s="54">
        <f t="shared" si="0"/>
        <v>0</v>
      </c>
      <c r="P37" s="55">
        <f t="shared" si="4"/>
        <v>0</v>
      </c>
      <c r="Q37" s="56"/>
    </row>
    <row r="38" spans="1:17" s="32" customFormat="1" ht="409.5" customHeight="1" hidden="1" outlineLevel="5">
      <c r="A38" s="24" t="s">
        <v>52</v>
      </c>
      <c r="B38" s="48"/>
      <c r="C38" s="49" t="s">
        <v>53</v>
      </c>
      <c r="D38" s="144" t="s">
        <v>52</v>
      </c>
      <c r="E38" s="51">
        <v>8650982.19</v>
      </c>
      <c r="F38" s="51"/>
      <c r="G38" s="52">
        <f t="shared" si="1"/>
        <v>-8650982.19</v>
      </c>
      <c r="H38" s="53">
        <f t="shared" si="2"/>
        <v>0</v>
      </c>
      <c r="I38" s="51">
        <v>0</v>
      </c>
      <c r="J38" s="51"/>
      <c r="K38" s="51"/>
      <c r="L38" s="51"/>
      <c r="M38" s="54">
        <f t="shared" si="3"/>
        <v>0</v>
      </c>
      <c r="N38" s="51"/>
      <c r="O38" s="54" t="e">
        <f t="shared" si="0"/>
        <v>#DIV/0!</v>
      </c>
      <c r="P38" s="55">
        <f t="shared" si="4"/>
        <v>0</v>
      </c>
      <c r="Q38" s="56"/>
    </row>
    <row r="39" spans="1:17" s="32" customFormat="1" ht="57.75" customHeight="1" outlineLevel="2" collapsed="1">
      <c r="A39" s="24" t="s">
        <v>54</v>
      </c>
      <c r="B39" s="48" t="s">
        <v>55</v>
      </c>
      <c r="C39" s="49" t="s">
        <v>56</v>
      </c>
      <c r="D39" s="144" t="s">
        <v>54</v>
      </c>
      <c r="E39" s="51">
        <v>10254357.32</v>
      </c>
      <c r="F39" s="51">
        <v>4812591.91</v>
      </c>
      <c r="G39" s="52">
        <f t="shared" si="1"/>
        <v>-5441765.41</v>
      </c>
      <c r="H39" s="53">
        <f t="shared" si="2"/>
        <v>0.4693216512568337</v>
      </c>
      <c r="I39" s="51">
        <v>9197170</v>
      </c>
      <c r="J39" s="51">
        <v>676056.9</v>
      </c>
      <c r="K39" s="51">
        <f>4992128.09+19809.08</f>
        <v>5011937.17</v>
      </c>
      <c r="L39" s="28">
        <f>K39-J39</f>
        <v>4335880.27</v>
      </c>
      <c r="M39" s="54">
        <f t="shared" si="3"/>
        <v>-1.690107769640147</v>
      </c>
      <c r="N39" s="51">
        <f>K39-I39</f>
        <v>-4185232.83</v>
      </c>
      <c r="O39" s="54">
        <f t="shared" si="0"/>
        <v>0.5449434086789741</v>
      </c>
      <c r="P39" s="55">
        <f t="shared" si="4"/>
        <v>199345.25999999978</v>
      </c>
      <c r="Q39" s="149" t="s">
        <v>267</v>
      </c>
    </row>
    <row r="40" spans="1:17" s="32" customFormat="1" ht="58.5" customHeight="1" outlineLevel="1">
      <c r="A40" s="24" t="s">
        <v>57</v>
      </c>
      <c r="B40" s="48" t="s">
        <v>58</v>
      </c>
      <c r="C40" s="49" t="s">
        <v>59</v>
      </c>
      <c r="D40" s="144" t="s">
        <v>57</v>
      </c>
      <c r="E40" s="58">
        <f>E41+E42+E52+E56</f>
        <v>45903932.26</v>
      </c>
      <c r="F40" s="51">
        <f>F41+F42+F52+F56</f>
        <v>22866788.580000002</v>
      </c>
      <c r="G40" s="52">
        <f t="shared" si="1"/>
        <v>-23037143.679999996</v>
      </c>
      <c r="H40" s="53">
        <f t="shared" si="2"/>
        <v>0.49814443892262755</v>
      </c>
      <c r="I40" s="51">
        <f>I41+I42+I52+I56</f>
        <v>44278800</v>
      </c>
      <c r="J40" s="51">
        <f>J41+J42+J52+J56</f>
        <v>1291804</v>
      </c>
      <c r="K40" s="51">
        <f>K41+K42+K52+K56</f>
        <v>23611769.59</v>
      </c>
      <c r="L40" s="28">
        <f>K40-J40</f>
        <v>22319965.59</v>
      </c>
      <c r="M40" s="54">
        <f t="shared" si="3"/>
        <v>-1.9220611988647374</v>
      </c>
      <c r="N40" s="51">
        <f>N41+N42+N52+N56</f>
        <v>-20667030.41</v>
      </c>
      <c r="O40" s="54">
        <f t="shared" si="0"/>
        <v>0.5332522468991933</v>
      </c>
      <c r="P40" s="55">
        <f t="shared" si="4"/>
        <v>744981.0099999979</v>
      </c>
      <c r="Q40" s="149" t="s">
        <v>267</v>
      </c>
    </row>
    <row r="41" spans="1:17" s="32" customFormat="1" ht="41.25" customHeight="1" outlineLevel="1">
      <c r="A41" s="24"/>
      <c r="B41" s="48" t="s">
        <v>60</v>
      </c>
      <c r="C41" s="59" t="s">
        <v>61</v>
      </c>
      <c r="D41" s="60" t="s">
        <v>62</v>
      </c>
      <c r="E41" s="61">
        <v>33191065.25</v>
      </c>
      <c r="F41" s="61">
        <v>16674350.38</v>
      </c>
      <c r="G41" s="62">
        <f>F41-E41</f>
        <v>-16516714.87</v>
      </c>
      <c r="H41" s="63"/>
      <c r="I41" s="61">
        <v>31715800</v>
      </c>
      <c r="J41" s="61">
        <v>728906</v>
      </c>
      <c r="K41" s="61">
        <f>20407293.02+25031.91</f>
        <v>20432324.93</v>
      </c>
      <c r="L41" s="61">
        <f>K41-J41</f>
        <v>19703418.93</v>
      </c>
      <c r="M41" s="63">
        <f t="shared" si="3"/>
        <v>-1.9202244665255277</v>
      </c>
      <c r="N41" s="61">
        <f>K41-I41</f>
        <v>-11283475.07</v>
      </c>
      <c r="O41" s="63">
        <f t="shared" si="0"/>
        <v>0.644231737178315</v>
      </c>
      <c r="P41" s="61">
        <f>K41-F41</f>
        <v>3757974.549999999</v>
      </c>
      <c r="Q41" s="57"/>
    </row>
    <row r="42" spans="1:17" ht="28.5" outlineLevel="2">
      <c r="A42" s="64" t="s">
        <v>63</v>
      </c>
      <c r="B42" s="65" t="s">
        <v>64</v>
      </c>
      <c r="C42" s="59" t="s">
        <v>65</v>
      </c>
      <c r="D42" s="60" t="s">
        <v>63</v>
      </c>
      <c r="E42" s="61">
        <v>108221.73</v>
      </c>
      <c r="F42" s="61">
        <v>41830.5</v>
      </c>
      <c r="G42" s="62">
        <f>F42-E42</f>
        <v>-66391.23</v>
      </c>
      <c r="H42" s="63">
        <f>F42/E42</f>
        <v>0.38652588532820537</v>
      </c>
      <c r="I42" s="61"/>
      <c r="J42" s="61"/>
      <c r="K42" s="61">
        <v>-219916.53</v>
      </c>
      <c r="L42" s="61">
        <f aca="true" t="shared" si="5" ref="L42:L56">K42-J42</f>
        <v>-219916.53</v>
      </c>
      <c r="M42" s="63">
        <f t="shared" si="3"/>
        <v>0</v>
      </c>
      <c r="N42" s="61">
        <f>K42-I42</f>
        <v>-219916.53</v>
      </c>
      <c r="O42" s="63"/>
      <c r="P42" s="61">
        <f>K42-F42</f>
        <v>-261747.03</v>
      </c>
      <c r="Q42" s="66" t="s">
        <v>263</v>
      </c>
    </row>
    <row r="43" spans="1:17" ht="15" customHeight="1" hidden="1" outlineLevel="3">
      <c r="A43" s="64" t="s">
        <v>66</v>
      </c>
      <c r="B43" s="65"/>
      <c r="C43" s="59" t="s">
        <v>23</v>
      </c>
      <c r="D43" s="60" t="s">
        <v>66</v>
      </c>
      <c r="E43" s="61"/>
      <c r="F43" s="61"/>
      <c r="G43" s="62">
        <f aca="true" t="shared" si="6" ref="G43:G56">F43-E43</f>
        <v>0</v>
      </c>
      <c r="H43" s="63" t="e">
        <f aca="true" t="shared" si="7" ref="H43:H56">F43/E43</f>
        <v>#DIV/0!</v>
      </c>
      <c r="I43" s="61">
        <v>57591300</v>
      </c>
      <c r="J43" s="61"/>
      <c r="K43" s="61"/>
      <c r="L43" s="61">
        <f t="shared" si="5"/>
        <v>0</v>
      </c>
      <c r="M43" s="63" t="e">
        <f t="shared" si="3"/>
        <v>#DIV/0!</v>
      </c>
      <c r="N43" s="61">
        <f aca="true" t="shared" si="8" ref="N43:N56">K43-I43</f>
        <v>-57591300</v>
      </c>
      <c r="O43" s="63">
        <f t="shared" si="0"/>
        <v>0</v>
      </c>
      <c r="P43" s="61">
        <f aca="true" t="shared" si="9" ref="P43:P56">K43-F43</f>
        <v>0</v>
      </c>
      <c r="Q43" s="67"/>
    </row>
    <row r="44" spans="1:17" ht="57" customHeight="1" hidden="1" outlineLevel="4">
      <c r="A44" s="64" t="s">
        <v>67</v>
      </c>
      <c r="B44" s="65"/>
      <c r="C44" s="59" t="s">
        <v>68</v>
      </c>
      <c r="D44" s="60" t="s">
        <v>67</v>
      </c>
      <c r="E44" s="61"/>
      <c r="F44" s="61"/>
      <c r="G44" s="62">
        <f t="shared" si="6"/>
        <v>0</v>
      </c>
      <c r="H44" s="63" t="e">
        <f t="shared" si="7"/>
        <v>#DIV/0!</v>
      </c>
      <c r="I44" s="61">
        <v>57591300</v>
      </c>
      <c r="J44" s="61"/>
      <c r="K44" s="61"/>
      <c r="L44" s="61">
        <f t="shared" si="5"/>
        <v>0</v>
      </c>
      <c r="M44" s="63" t="e">
        <f t="shared" si="3"/>
        <v>#DIV/0!</v>
      </c>
      <c r="N44" s="61">
        <f t="shared" si="8"/>
        <v>-57591300</v>
      </c>
      <c r="O44" s="63">
        <f t="shared" si="0"/>
        <v>0</v>
      </c>
      <c r="P44" s="61">
        <f t="shared" si="9"/>
        <v>0</v>
      </c>
      <c r="Q44" s="67"/>
    </row>
    <row r="45" spans="1:17" ht="57" customHeight="1" hidden="1" outlineLevel="5">
      <c r="A45" s="64" t="s">
        <v>67</v>
      </c>
      <c r="B45" s="65"/>
      <c r="C45" s="59" t="s">
        <v>69</v>
      </c>
      <c r="D45" s="60" t="s">
        <v>67</v>
      </c>
      <c r="E45" s="61"/>
      <c r="F45" s="61"/>
      <c r="G45" s="62">
        <f t="shared" si="6"/>
        <v>0</v>
      </c>
      <c r="H45" s="63" t="e">
        <f t="shared" si="7"/>
        <v>#DIV/0!</v>
      </c>
      <c r="I45" s="61">
        <v>57591300</v>
      </c>
      <c r="J45" s="61"/>
      <c r="K45" s="61"/>
      <c r="L45" s="61">
        <f t="shared" si="5"/>
        <v>0</v>
      </c>
      <c r="M45" s="63" t="e">
        <f t="shared" si="3"/>
        <v>#DIV/0!</v>
      </c>
      <c r="N45" s="61">
        <f t="shared" si="8"/>
        <v>-57591300</v>
      </c>
      <c r="O45" s="63">
        <f t="shared" si="0"/>
        <v>0</v>
      </c>
      <c r="P45" s="61">
        <f t="shared" si="9"/>
        <v>0</v>
      </c>
      <c r="Q45" s="67"/>
    </row>
    <row r="46" spans="1:17" ht="57" customHeight="1" hidden="1" outlineLevel="5">
      <c r="A46" s="64" t="s">
        <v>70</v>
      </c>
      <c r="B46" s="65"/>
      <c r="C46" s="59" t="s">
        <v>69</v>
      </c>
      <c r="D46" s="60" t="s">
        <v>70</v>
      </c>
      <c r="E46" s="61"/>
      <c r="F46" s="61"/>
      <c r="G46" s="62">
        <f t="shared" si="6"/>
        <v>0</v>
      </c>
      <c r="H46" s="63" t="e">
        <f t="shared" si="7"/>
        <v>#DIV/0!</v>
      </c>
      <c r="I46" s="61">
        <v>0</v>
      </c>
      <c r="J46" s="61"/>
      <c r="K46" s="61"/>
      <c r="L46" s="61">
        <f t="shared" si="5"/>
        <v>0</v>
      </c>
      <c r="M46" s="63" t="e">
        <f t="shared" si="3"/>
        <v>#DIV/0!</v>
      </c>
      <c r="N46" s="61">
        <f t="shared" si="8"/>
        <v>0</v>
      </c>
      <c r="O46" s="63" t="e">
        <f t="shared" si="0"/>
        <v>#DIV/0!</v>
      </c>
      <c r="P46" s="61">
        <f t="shared" si="9"/>
        <v>0</v>
      </c>
      <c r="Q46" s="67"/>
    </row>
    <row r="47" spans="1:17" ht="57" customHeight="1" hidden="1" outlineLevel="5">
      <c r="A47" s="64" t="s">
        <v>71</v>
      </c>
      <c r="B47" s="65"/>
      <c r="C47" s="59" t="s">
        <v>69</v>
      </c>
      <c r="D47" s="60" t="s">
        <v>71</v>
      </c>
      <c r="E47" s="61"/>
      <c r="F47" s="61"/>
      <c r="G47" s="62">
        <f t="shared" si="6"/>
        <v>0</v>
      </c>
      <c r="H47" s="63" t="e">
        <f t="shared" si="7"/>
        <v>#DIV/0!</v>
      </c>
      <c r="I47" s="61">
        <v>0</v>
      </c>
      <c r="J47" s="61"/>
      <c r="K47" s="61"/>
      <c r="L47" s="61">
        <f t="shared" si="5"/>
        <v>0</v>
      </c>
      <c r="M47" s="63" t="e">
        <f t="shared" si="3"/>
        <v>#DIV/0!</v>
      </c>
      <c r="N47" s="61">
        <f t="shared" si="8"/>
        <v>0</v>
      </c>
      <c r="O47" s="63" t="e">
        <f t="shared" si="0"/>
        <v>#DIV/0!</v>
      </c>
      <c r="P47" s="61">
        <f t="shared" si="9"/>
        <v>0</v>
      </c>
      <c r="Q47" s="67"/>
    </row>
    <row r="48" spans="1:17" ht="57" customHeight="1" hidden="1" outlineLevel="5">
      <c r="A48" s="64" t="s">
        <v>72</v>
      </c>
      <c r="B48" s="65"/>
      <c r="C48" s="59" t="s">
        <v>69</v>
      </c>
      <c r="D48" s="60" t="s">
        <v>72</v>
      </c>
      <c r="E48" s="61"/>
      <c r="F48" s="61"/>
      <c r="G48" s="62">
        <f t="shared" si="6"/>
        <v>0</v>
      </c>
      <c r="H48" s="63" t="e">
        <f t="shared" si="7"/>
        <v>#DIV/0!</v>
      </c>
      <c r="I48" s="61">
        <v>0</v>
      </c>
      <c r="J48" s="61"/>
      <c r="K48" s="61"/>
      <c r="L48" s="61">
        <f t="shared" si="5"/>
        <v>0</v>
      </c>
      <c r="M48" s="63" t="e">
        <f t="shared" si="3"/>
        <v>#DIV/0!</v>
      </c>
      <c r="N48" s="61">
        <f t="shared" si="8"/>
        <v>0</v>
      </c>
      <c r="O48" s="63" t="e">
        <f t="shared" si="0"/>
        <v>#DIV/0!</v>
      </c>
      <c r="P48" s="61">
        <f t="shared" si="9"/>
        <v>0</v>
      </c>
      <c r="Q48" s="67"/>
    </row>
    <row r="49" spans="1:17" ht="15" customHeight="1" hidden="1" outlineLevel="3">
      <c r="A49" s="64" t="s">
        <v>73</v>
      </c>
      <c r="B49" s="65"/>
      <c r="C49" s="59" t="s">
        <v>23</v>
      </c>
      <c r="D49" s="60" t="s">
        <v>73</v>
      </c>
      <c r="E49" s="61"/>
      <c r="F49" s="61"/>
      <c r="G49" s="62">
        <f t="shared" si="6"/>
        <v>0</v>
      </c>
      <c r="H49" s="63" t="e">
        <f t="shared" si="7"/>
        <v>#DIV/0!</v>
      </c>
      <c r="I49" s="61">
        <v>0</v>
      </c>
      <c r="J49" s="61"/>
      <c r="K49" s="61"/>
      <c r="L49" s="61">
        <f t="shared" si="5"/>
        <v>0</v>
      </c>
      <c r="M49" s="63" t="e">
        <f t="shared" si="3"/>
        <v>#DIV/0!</v>
      </c>
      <c r="N49" s="61">
        <f t="shared" si="8"/>
        <v>0</v>
      </c>
      <c r="O49" s="63" t="e">
        <f t="shared" si="0"/>
        <v>#DIV/0!</v>
      </c>
      <c r="P49" s="61">
        <f t="shared" si="9"/>
        <v>0</v>
      </c>
      <c r="Q49" s="67"/>
    </row>
    <row r="50" spans="1:17" ht="99.75" customHeight="1" hidden="1" outlineLevel="4">
      <c r="A50" s="64" t="s">
        <v>74</v>
      </c>
      <c r="B50" s="65"/>
      <c r="C50" s="59" t="s">
        <v>75</v>
      </c>
      <c r="D50" s="60" t="s">
        <v>74</v>
      </c>
      <c r="E50" s="61"/>
      <c r="F50" s="61"/>
      <c r="G50" s="62">
        <f t="shared" si="6"/>
        <v>0</v>
      </c>
      <c r="H50" s="63" t="e">
        <f t="shared" si="7"/>
        <v>#DIV/0!</v>
      </c>
      <c r="I50" s="61">
        <v>0</v>
      </c>
      <c r="J50" s="61"/>
      <c r="K50" s="61"/>
      <c r="L50" s="61">
        <f t="shared" si="5"/>
        <v>0</v>
      </c>
      <c r="M50" s="63" t="e">
        <f t="shared" si="3"/>
        <v>#DIV/0!</v>
      </c>
      <c r="N50" s="61">
        <f t="shared" si="8"/>
        <v>0</v>
      </c>
      <c r="O50" s="63" t="e">
        <f t="shared" si="0"/>
        <v>#DIV/0!</v>
      </c>
      <c r="P50" s="61">
        <f t="shared" si="9"/>
        <v>0</v>
      </c>
      <c r="Q50" s="67"/>
    </row>
    <row r="51" spans="1:17" ht="99.75" customHeight="1" hidden="1" outlineLevel="5">
      <c r="A51" s="64" t="s">
        <v>76</v>
      </c>
      <c r="B51" s="65"/>
      <c r="C51" s="59" t="s">
        <v>77</v>
      </c>
      <c r="D51" s="60" t="s">
        <v>76</v>
      </c>
      <c r="E51" s="61"/>
      <c r="F51" s="61"/>
      <c r="G51" s="62">
        <f t="shared" si="6"/>
        <v>0</v>
      </c>
      <c r="H51" s="63" t="e">
        <f t="shared" si="7"/>
        <v>#DIV/0!</v>
      </c>
      <c r="I51" s="61">
        <v>0</v>
      </c>
      <c r="J51" s="61"/>
      <c r="K51" s="61"/>
      <c r="L51" s="61">
        <f t="shared" si="5"/>
        <v>0</v>
      </c>
      <c r="M51" s="63" t="e">
        <f t="shared" si="3"/>
        <v>#DIV/0!</v>
      </c>
      <c r="N51" s="61">
        <f t="shared" si="8"/>
        <v>0</v>
      </c>
      <c r="O51" s="63" t="e">
        <f t="shared" si="0"/>
        <v>#DIV/0!</v>
      </c>
      <c r="P51" s="61">
        <f t="shared" si="9"/>
        <v>0</v>
      </c>
      <c r="Q51" s="67"/>
    </row>
    <row r="52" spans="1:17" ht="18.75" customHeight="1" outlineLevel="2" collapsed="1">
      <c r="A52" s="64" t="s">
        <v>78</v>
      </c>
      <c r="B52" s="65" t="s">
        <v>79</v>
      </c>
      <c r="C52" s="59" t="s">
        <v>80</v>
      </c>
      <c r="D52" s="60" t="s">
        <v>78</v>
      </c>
      <c r="E52" s="62">
        <v>63052.38</v>
      </c>
      <c r="F52" s="62">
        <v>63051.56</v>
      </c>
      <c r="G52" s="62">
        <f t="shared" si="6"/>
        <v>-0.819999999999709</v>
      </c>
      <c r="H52" s="63">
        <f t="shared" si="7"/>
        <v>0.9999869949397628</v>
      </c>
      <c r="I52" s="61">
        <v>63000</v>
      </c>
      <c r="J52" s="61"/>
      <c r="K52" s="62">
        <v>17680</v>
      </c>
      <c r="L52" s="61">
        <f t="shared" si="5"/>
        <v>17680</v>
      </c>
      <c r="M52" s="63">
        <f t="shared" si="3"/>
        <v>-76829.2682927102</v>
      </c>
      <c r="N52" s="61">
        <f t="shared" si="8"/>
        <v>-45320</v>
      </c>
      <c r="O52" s="63">
        <f t="shared" si="0"/>
        <v>0.2806349206349206</v>
      </c>
      <c r="P52" s="61">
        <f t="shared" si="9"/>
        <v>-45371.56</v>
      </c>
      <c r="Q52" s="67"/>
    </row>
    <row r="53" spans="1:17" ht="15" customHeight="1" hidden="1" outlineLevel="3">
      <c r="A53" s="64" t="s">
        <v>81</v>
      </c>
      <c r="B53" s="65"/>
      <c r="C53" s="59" t="s">
        <v>23</v>
      </c>
      <c r="D53" s="60" t="s">
        <v>81</v>
      </c>
      <c r="E53" s="61"/>
      <c r="F53" s="61"/>
      <c r="G53" s="62">
        <f t="shared" si="6"/>
        <v>0</v>
      </c>
      <c r="H53" s="63" t="e">
        <f t="shared" si="7"/>
        <v>#DIV/0!</v>
      </c>
      <c r="I53" s="61"/>
      <c r="J53" s="61"/>
      <c r="K53" s="61"/>
      <c r="L53" s="61">
        <f t="shared" si="5"/>
        <v>0</v>
      </c>
      <c r="M53" s="63" t="e">
        <f t="shared" si="3"/>
        <v>#DIV/0!</v>
      </c>
      <c r="N53" s="61">
        <f t="shared" si="8"/>
        <v>0</v>
      </c>
      <c r="O53" s="63" t="e">
        <f t="shared" si="0"/>
        <v>#DIV/0!</v>
      </c>
      <c r="P53" s="61">
        <f t="shared" si="9"/>
        <v>0</v>
      </c>
      <c r="Q53" s="68"/>
    </row>
    <row r="54" spans="1:17" ht="42.75" customHeight="1" hidden="1" outlineLevel="4">
      <c r="A54" s="64" t="s">
        <v>82</v>
      </c>
      <c r="B54" s="65"/>
      <c r="C54" s="59" t="s">
        <v>83</v>
      </c>
      <c r="D54" s="60" t="s">
        <v>82</v>
      </c>
      <c r="E54" s="61"/>
      <c r="F54" s="61"/>
      <c r="G54" s="62">
        <f t="shared" si="6"/>
        <v>0</v>
      </c>
      <c r="H54" s="63" t="e">
        <f t="shared" si="7"/>
        <v>#DIV/0!</v>
      </c>
      <c r="I54" s="61"/>
      <c r="J54" s="61"/>
      <c r="K54" s="61"/>
      <c r="L54" s="61">
        <f t="shared" si="5"/>
        <v>0</v>
      </c>
      <c r="M54" s="63" t="e">
        <f t="shared" si="3"/>
        <v>#DIV/0!</v>
      </c>
      <c r="N54" s="61">
        <f t="shared" si="8"/>
        <v>0</v>
      </c>
      <c r="O54" s="63" t="e">
        <f t="shared" si="0"/>
        <v>#DIV/0!</v>
      </c>
      <c r="P54" s="61">
        <f t="shared" si="9"/>
        <v>0</v>
      </c>
      <c r="Q54" s="68"/>
    </row>
    <row r="55" spans="1:17" ht="42.75" customHeight="1" hidden="1" outlineLevel="5">
      <c r="A55" s="64" t="s">
        <v>82</v>
      </c>
      <c r="B55" s="65"/>
      <c r="C55" s="59" t="s">
        <v>84</v>
      </c>
      <c r="D55" s="60" t="s">
        <v>82</v>
      </c>
      <c r="E55" s="61"/>
      <c r="F55" s="61"/>
      <c r="G55" s="62">
        <f t="shared" si="6"/>
        <v>0</v>
      </c>
      <c r="H55" s="63" t="e">
        <f t="shared" si="7"/>
        <v>#DIV/0!</v>
      </c>
      <c r="I55" s="61"/>
      <c r="J55" s="61"/>
      <c r="K55" s="61"/>
      <c r="L55" s="61">
        <f t="shared" si="5"/>
        <v>0</v>
      </c>
      <c r="M55" s="63" t="e">
        <f t="shared" si="3"/>
        <v>#DIV/0!</v>
      </c>
      <c r="N55" s="61">
        <f t="shared" si="8"/>
        <v>0</v>
      </c>
      <c r="O55" s="63" t="e">
        <f t="shared" si="0"/>
        <v>#DIV/0!</v>
      </c>
      <c r="P55" s="61">
        <f t="shared" si="9"/>
        <v>0</v>
      </c>
      <c r="Q55" s="68"/>
    </row>
    <row r="56" spans="1:17" ht="30" customHeight="1" outlineLevel="2" collapsed="1">
      <c r="A56" s="64" t="s">
        <v>85</v>
      </c>
      <c r="B56" s="65" t="s">
        <v>86</v>
      </c>
      <c r="C56" s="59" t="s">
        <v>87</v>
      </c>
      <c r="D56" s="60" t="s">
        <v>85</v>
      </c>
      <c r="E56" s="61">
        <v>12541592.9</v>
      </c>
      <c r="F56" s="61">
        <v>6087556.14</v>
      </c>
      <c r="G56" s="62">
        <f t="shared" si="6"/>
        <v>-6454036.760000001</v>
      </c>
      <c r="H56" s="63">
        <f t="shared" si="7"/>
        <v>0.48538939100789974</v>
      </c>
      <c r="I56" s="61">
        <v>12500000</v>
      </c>
      <c r="J56" s="61">
        <v>562898</v>
      </c>
      <c r="K56" s="61">
        <f>3377535.15+4146.04</f>
        <v>3381681.19</v>
      </c>
      <c r="L56" s="61">
        <f t="shared" si="5"/>
        <v>2818783.19</v>
      </c>
      <c r="M56" s="63">
        <f t="shared" si="3"/>
        <v>-1.9367723588856656</v>
      </c>
      <c r="N56" s="61">
        <f t="shared" si="8"/>
        <v>-9118318.81</v>
      </c>
      <c r="O56" s="63">
        <f t="shared" si="0"/>
        <v>0.2705344952</v>
      </c>
      <c r="P56" s="61">
        <f t="shared" si="9"/>
        <v>-2705874.9499999997</v>
      </c>
      <c r="Q56" s="66"/>
    </row>
    <row r="57" spans="1:17" ht="15" customHeight="1" hidden="1" outlineLevel="3">
      <c r="A57" s="64" t="s">
        <v>88</v>
      </c>
      <c r="B57" s="65"/>
      <c r="C57" s="59" t="s">
        <v>23</v>
      </c>
      <c r="D57" s="60" t="s">
        <v>88</v>
      </c>
      <c r="E57" s="61">
        <v>401120</v>
      </c>
      <c r="F57" s="61">
        <v>401120</v>
      </c>
      <c r="G57" s="62"/>
      <c r="H57" s="63" t="e">
        <f>E57/#REF!</f>
        <v>#REF!</v>
      </c>
      <c r="I57" s="61">
        <v>8300000</v>
      </c>
      <c r="J57" s="61"/>
      <c r="K57" s="61">
        <v>401120</v>
      </c>
      <c r="L57" s="61"/>
      <c r="M57" s="63" t="e">
        <f t="shared" si="3"/>
        <v>#DIV/0!</v>
      </c>
      <c r="N57" s="61"/>
      <c r="O57" s="63">
        <f t="shared" si="0"/>
        <v>0.04832771084337349</v>
      </c>
      <c r="P57" s="61" t="e">
        <f>E57-#REF!</f>
        <v>#REF!</v>
      </c>
      <c r="Q57" s="68"/>
    </row>
    <row r="58" spans="1:17" ht="85.5" customHeight="1" hidden="1" outlineLevel="4">
      <c r="A58" s="64" t="s">
        <v>89</v>
      </c>
      <c r="B58" s="65"/>
      <c r="C58" s="59" t="s">
        <v>90</v>
      </c>
      <c r="D58" s="60" t="s">
        <v>89</v>
      </c>
      <c r="E58" s="61">
        <v>0</v>
      </c>
      <c r="F58" s="61">
        <v>401120</v>
      </c>
      <c r="G58" s="62"/>
      <c r="H58" s="63" t="e">
        <f>E58/#REF!</f>
        <v>#REF!</v>
      </c>
      <c r="I58" s="61">
        <v>8300000</v>
      </c>
      <c r="J58" s="61"/>
      <c r="K58" s="61">
        <v>401120</v>
      </c>
      <c r="L58" s="61"/>
      <c r="M58" s="63" t="e">
        <f t="shared" si="3"/>
        <v>#DIV/0!</v>
      </c>
      <c r="N58" s="61"/>
      <c r="O58" s="63">
        <f t="shared" si="0"/>
        <v>0.04832771084337349</v>
      </c>
      <c r="P58" s="61" t="e">
        <f>E58-#REF!</f>
        <v>#REF!</v>
      </c>
      <c r="Q58" s="68"/>
    </row>
    <row r="59" spans="1:17" ht="99.75" customHeight="1" hidden="1" outlineLevel="5">
      <c r="A59" s="64" t="s">
        <v>89</v>
      </c>
      <c r="B59" s="65"/>
      <c r="C59" s="59" t="s">
        <v>91</v>
      </c>
      <c r="D59" s="60" t="s">
        <v>89</v>
      </c>
      <c r="E59" s="61">
        <v>401106.8</v>
      </c>
      <c r="F59" s="61">
        <v>0</v>
      </c>
      <c r="G59" s="62"/>
      <c r="H59" s="63" t="e">
        <f>E59/#REF!</f>
        <v>#REF!</v>
      </c>
      <c r="I59" s="61">
        <v>8300000</v>
      </c>
      <c r="J59" s="61"/>
      <c r="K59" s="61">
        <v>0</v>
      </c>
      <c r="L59" s="61"/>
      <c r="M59" s="63" t="e">
        <f t="shared" si="3"/>
        <v>#DIV/0!</v>
      </c>
      <c r="N59" s="61"/>
      <c r="O59" s="63">
        <f t="shared" si="0"/>
        <v>0</v>
      </c>
      <c r="P59" s="61" t="e">
        <f>E59-#REF!</f>
        <v>#REF!</v>
      </c>
      <c r="Q59" s="68"/>
    </row>
    <row r="60" spans="1:17" ht="99.75" customHeight="1" hidden="1" outlineLevel="5">
      <c r="A60" s="64" t="s">
        <v>92</v>
      </c>
      <c r="B60" s="65"/>
      <c r="C60" s="59" t="s">
        <v>91</v>
      </c>
      <c r="D60" s="60" t="s">
        <v>92</v>
      </c>
      <c r="E60" s="61">
        <v>13.2</v>
      </c>
      <c r="F60" s="61">
        <v>401106.8</v>
      </c>
      <c r="G60" s="62"/>
      <c r="H60" s="63" t="e">
        <f>E60/#REF!</f>
        <v>#REF!</v>
      </c>
      <c r="I60" s="61">
        <v>0</v>
      </c>
      <c r="J60" s="61"/>
      <c r="K60" s="61">
        <v>401106.8</v>
      </c>
      <c r="L60" s="61"/>
      <c r="M60" s="63" t="e">
        <f t="shared" si="3"/>
        <v>#DIV/0!</v>
      </c>
      <c r="N60" s="61"/>
      <c r="O60" s="63" t="e">
        <f t="shared" si="0"/>
        <v>#DIV/0!</v>
      </c>
      <c r="P60" s="61" t="e">
        <f>E60-#REF!</f>
        <v>#REF!</v>
      </c>
      <c r="Q60" s="68"/>
    </row>
    <row r="61" spans="1:17" ht="99.75" customHeight="1" hidden="1" outlineLevel="5">
      <c r="A61" s="64" t="s">
        <v>93</v>
      </c>
      <c r="B61" s="65"/>
      <c r="C61" s="59" t="s">
        <v>91</v>
      </c>
      <c r="D61" s="60" t="s">
        <v>93</v>
      </c>
      <c r="E61" s="51">
        <f>E62+E63+E64</f>
        <v>172244710.82</v>
      </c>
      <c r="F61" s="61">
        <v>13.2</v>
      </c>
      <c r="G61" s="62"/>
      <c r="H61" s="63" t="e">
        <f>E61/#REF!</f>
        <v>#REF!</v>
      </c>
      <c r="I61" s="61">
        <v>0</v>
      </c>
      <c r="J61" s="61"/>
      <c r="K61" s="61">
        <v>13.2</v>
      </c>
      <c r="L61" s="61"/>
      <c r="M61" s="63" t="e">
        <f t="shared" si="3"/>
        <v>#DIV/0!</v>
      </c>
      <c r="N61" s="61"/>
      <c r="O61" s="63" t="e">
        <f t="shared" si="0"/>
        <v>#DIV/0!</v>
      </c>
      <c r="P61" s="61" t="e">
        <f>E61-#REF!</f>
        <v>#REF!</v>
      </c>
      <c r="Q61" s="68"/>
    </row>
    <row r="62" spans="1:17" s="32" customFormat="1" ht="22.5" customHeight="1" outlineLevel="1" collapsed="1">
      <c r="A62" s="24" t="s">
        <v>94</v>
      </c>
      <c r="B62" s="48" t="s">
        <v>95</v>
      </c>
      <c r="C62" s="49" t="s">
        <v>96</v>
      </c>
      <c r="D62" s="50" t="s">
        <v>94</v>
      </c>
      <c r="E62" s="51">
        <f>E63+E64+E65</f>
        <v>95317580.9</v>
      </c>
      <c r="F62" s="51">
        <f>F63+F64+F65</f>
        <v>32447748.240000002</v>
      </c>
      <c r="G62" s="58">
        <f>F62-E62</f>
        <v>-62869832.660000004</v>
      </c>
      <c r="H62" s="54">
        <f aca="true" t="shared" si="10" ref="H62:H72">F62/E62</f>
        <v>0.34041724447499067</v>
      </c>
      <c r="I62" s="51">
        <f>I63+I64+I65</f>
        <v>75916097.63</v>
      </c>
      <c r="J62" s="51">
        <f>J63+J64+J65</f>
        <v>3543302</v>
      </c>
      <c r="K62" s="51">
        <f>K63+K64+K65</f>
        <v>20081286.830000002</v>
      </c>
      <c r="L62" s="51">
        <f>K62-J62</f>
        <v>16537984.830000002</v>
      </c>
      <c r="M62" s="54">
        <f t="shared" si="3"/>
        <v>-1.2075123221745185</v>
      </c>
      <c r="N62" s="51">
        <f>N63+N64+N65</f>
        <v>-55834810.800000004</v>
      </c>
      <c r="O62" s="54">
        <f t="shared" si="0"/>
        <v>0.2645194821244924</v>
      </c>
      <c r="P62" s="51">
        <f aca="true" t="shared" si="11" ref="P62:P72">K62-F62</f>
        <v>-12366461.41</v>
      </c>
      <c r="Q62" s="149" t="s">
        <v>267</v>
      </c>
    </row>
    <row r="63" spans="1:17" ht="28.5" outlineLevel="2">
      <c r="A63" s="64" t="s">
        <v>97</v>
      </c>
      <c r="B63" s="65" t="s">
        <v>98</v>
      </c>
      <c r="C63" s="59" t="s">
        <v>99</v>
      </c>
      <c r="D63" s="60" t="s">
        <v>97</v>
      </c>
      <c r="E63" s="61">
        <v>14947482.35</v>
      </c>
      <c r="F63" s="61">
        <v>1481300.18</v>
      </c>
      <c r="G63" s="62">
        <f>F63-E63</f>
        <v>-13466182.17</v>
      </c>
      <c r="H63" s="63">
        <f t="shared" si="10"/>
        <v>0.09910031303699783</v>
      </c>
      <c r="I63" s="61">
        <v>11900000</v>
      </c>
      <c r="J63" s="61">
        <v>80000</v>
      </c>
      <c r="K63" s="61">
        <f>1979196.8+6258.49</f>
        <v>1985455.29</v>
      </c>
      <c r="L63" s="61">
        <f>K63-J63</f>
        <v>1905455.29</v>
      </c>
      <c r="M63" s="63">
        <f t="shared" si="3"/>
        <v>-0.8836951594573594</v>
      </c>
      <c r="N63" s="61">
        <f>K63-I63</f>
        <v>-9914544.71</v>
      </c>
      <c r="O63" s="63">
        <f t="shared" si="0"/>
        <v>0.16684498235294118</v>
      </c>
      <c r="P63" s="61">
        <f t="shared" si="11"/>
        <v>504155.1100000001</v>
      </c>
      <c r="Q63" s="66"/>
    </row>
    <row r="64" spans="1:17" ht="145.5" customHeight="1" outlineLevel="4">
      <c r="A64" s="64" t="s">
        <v>100</v>
      </c>
      <c r="B64" s="65" t="s">
        <v>101</v>
      </c>
      <c r="C64" s="59" t="s">
        <v>102</v>
      </c>
      <c r="D64" s="60" t="s">
        <v>100</v>
      </c>
      <c r="E64" s="61">
        <v>61979647.57</v>
      </c>
      <c r="F64" s="61">
        <v>29667984.1</v>
      </c>
      <c r="G64" s="62">
        <f>F64-E64</f>
        <v>-32311663.47</v>
      </c>
      <c r="H64" s="63">
        <f t="shared" si="10"/>
        <v>0.4786730041743605</v>
      </c>
      <c r="I64" s="61">
        <v>47016097.63</v>
      </c>
      <c r="J64" s="61">
        <v>3011857</v>
      </c>
      <c r="K64" s="61">
        <f>15717598.67+6300</f>
        <v>15723898.67</v>
      </c>
      <c r="L64" s="61">
        <f>K64-J64</f>
        <v>12712041.67</v>
      </c>
      <c r="M64" s="63">
        <f t="shared" si="3"/>
        <v>-1.4550813106125733</v>
      </c>
      <c r="N64" s="61">
        <f>K64-I64</f>
        <v>-31292198.96</v>
      </c>
      <c r="O64" s="63">
        <f t="shared" si="0"/>
        <v>0.33443649010901544</v>
      </c>
      <c r="P64" s="61">
        <f t="shared" si="11"/>
        <v>-13944085.430000002</v>
      </c>
      <c r="Q64" s="66" t="s">
        <v>296</v>
      </c>
    </row>
    <row r="65" spans="1:17" ht="56.25" customHeight="1" outlineLevel="4">
      <c r="A65" s="64" t="s">
        <v>103</v>
      </c>
      <c r="B65" s="65" t="s">
        <v>104</v>
      </c>
      <c r="C65" s="59" t="s">
        <v>105</v>
      </c>
      <c r="D65" s="60" t="s">
        <v>103</v>
      </c>
      <c r="E65" s="61">
        <v>18390450.98</v>
      </c>
      <c r="F65" s="61">
        <v>1298463.96</v>
      </c>
      <c r="G65" s="62">
        <f>F65-E65</f>
        <v>-17091987.02</v>
      </c>
      <c r="H65" s="63">
        <f t="shared" si="10"/>
        <v>0.07060533542174179</v>
      </c>
      <c r="I65" s="61">
        <v>17000000</v>
      </c>
      <c r="J65" s="61">
        <v>451445</v>
      </c>
      <c r="K65" s="61">
        <f>2371503.78+429.09</f>
        <v>2371932.8699999996</v>
      </c>
      <c r="L65" s="61">
        <f>K65-J65</f>
        <v>1920487.8699999996</v>
      </c>
      <c r="M65" s="63">
        <f t="shared" si="3"/>
        <v>-0.9946181201815586</v>
      </c>
      <c r="N65" s="61">
        <f>K65-I65</f>
        <v>-14628067.13</v>
      </c>
      <c r="O65" s="63">
        <f t="shared" si="0"/>
        <v>0.13952546294117646</v>
      </c>
      <c r="P65" s="61">
        <f t="shared" si="11"/>
        <v>1073468.9099999997</v>
      </c>
      <c r="Q65" s="66"/>
    </row>
    <row r="66" spans="1:17" s="32" customFormat="1" ht="32.25" customHeight="1" outlineLevel="1">
      <c r="A66" s="24" t="s">
        <v>106</v>
      </c>
      <c r="B66" s="48" t="s">
        <v>107</v>
      </c>
      <c r="C66" s="49" t="s">
        <v>108</v>
      </c>
      <c r="D66" s="50" t="s">
        <v>106</v>
      </c>
      <c r="E66" s="51">
        <f>E67+E72</f>
        <v>10536108.33</v>
      </c>
      <c r="F66" s="51">
        <f>F67+F72</f>
        <v>5066889.02</v>
      </c>
      <c r="G66" s="58">
        <f>G67+G72</f>
        <v>-5469219.3100000005</v>
      </c>
      <c r="H66" s="54">
        <f t="shared" si="10"/>
        <v>0.4809070732096392</v>
      </c>
      <c r="I66" s="51">
        <f>I67+I72</f>
        <v>11535000</v>
      </c>
      <c r="J66" s="51">
        <f>J67+J72</f>
        <v>605206</v>
      </c>
      <c r="K66" s="51">
        <f>K67+K72</f>
        <v>5397590.31</v>
      </c>
      <c r="L66" s="51">
        <f>K66-J66</f>
        <v>4792384.31</v>
      </c>
      <c r="M66" s="54">
        <f t="shared" si="3"/>
        <v>-2.109076148932122</v>
      </c>
      <c r="N66" s="51">
        <f>N67+N72</f>
        <v>-6137409.69</v>
      </c>
      <c r="O66" s="54">
        <f t="shared" si="0"/>
        <v>0.46793153966189854</v>
      </c>
      <c r="P66" s="51">
        <f t="shared" si="11"/>
        <v>330701.29000000004</v>
      </c>
      <c r="Q66" s="56"/>
    </row>
    <row r="67" spans="1:17" ht="91.5" customHeight="1" outlineLevel="2">
      <c r="A67" s="64" t="s">
        <v>109</v>
      </c>
      <c r="B67" s="65" t="s">
        <v>110</v>
      </c>
      <c r="C67" s="59" t="s">
        <v>111</v>
      </c>
      <c r="D67" s="60" t="s">
        <v>109</v>
      </c>
      <c r="E67" s="61">
        <v>10431108.33</v>
      </c>
      <c r="F67" s="61">
        <v>5026889.02</v>
      </c>
      <c r="G67" s="62">
        <f aca="true" t="shared" si="12" ref="G67:G72">F67-E67</f>
        <v>-5404219.3100000005</v>
      </c>
      <c r="H67" s="63">
        <f t="shared" si="10"/>
        <v>0.4819132215838084</v>
      </c>
      <c r="I67" s="61">
        <v>11500000</v>
      </c>
      <c r="J67" s="61">
        <v>605206</v>
      </c>
      <c r="K67" s="61">
        <f>5306604.42+35985.89</f>
        <v>5342590.31</v>
      </c>
      <c r="L67" s="61">
        <f>K67-J67</f>
        <v>4737384.31</v>
      </c>
      <c r="M67" s="63">
        <f t="shared" si="3"/>
        <v>-2.1279669347837773</v>
      </c>
      <c r="N67" s="61">
        <f aca="true" t="shared" si="13" ref="N67:N72">K67-I67</f>
        <v>-6157409.69</v>
      </c>
      <c r="O67" s="63">
        <f t="shared" si="0"/>
        <v>0.4645730704347826</v>
      </c>
      <c r="P67" s="61">
        <f t="shared" si="11"/>
        <v>315701.29000000004</v>
      </c>
      <c r="Q67" s="67"/>
    </row>
    <row r="68" spans="1:17" ht="15" customHeight="1" hidden="1" outlineLevel="3">
      <c r="A68" s="64" t="s">
        <v>112</v>
      </c>
      <c r="B68" s="65"/>
      <c r="C68" s="59" t="s">
        <v>23</v>
      </c>
      <c r="D68" s="60" t="s">
        <v>112</v>
      </c>
      <c r="E68" s="61"/>
      <c r="F68" s="61"/>
      <c r="G68" s="62">
        <f t="shared" si="12"/>
        <v>0</v>
      </c>
      <c r="H68" s="63" t="e">
        <f t="shared" si="10"/>
        <v>#DIV/0!</v>
      </c>
      <c r="I68" s="61"/>
      <c r="J68" s="61"/>
      <c r="K68" s="61"/>
      <c r="L68" s="61">
        <f>I68-G68</f>
        <v>0</v>
      </c>
      <c r="M68" s="63" t="e">
        <f t="shared" si="3"/>
        <v>#DIV/0!</v>
      </c>
      <c r="N68" s="61">
        <f t="shared" si="13"/>
        <v>0</v>
      </c>
      <c r="O68" s="63" t="e">
        <f t="shared" si="0"/>
        <v>#DIV/0!</v>
      </c>
      <c r="P68" s="61">
        <f t="shared" si="11"/>
        <v>0</v>
      </c>
      <c r="Q68" s="68"/>
    </row>
    <row r="69" spans="1:17" ht="114" customHeight="1" hidden="1" outlineLevel="4">
      <c r="A69" s="64" t="s">
        <v>113</v>
      </c>
      <c r="B69" s="65"/>
      <c r="C69" s="59" t="s">
        <v>114</v>
      </c>
      <c r="D69" s="60" t="s">
        <v>113</v>
      </c>
      <c r="E69" s="61"/>
      <c r="F69" s="61"/>
      <c r="G69" s="62">
        <f t="shared" si="12"/>
        <v>0</v>
      </c>
      <c r="H69" s="63" t="e">
        <f t="shared" si="10"/>
        <v>#DIV/0!</v>
      </c>
      <c r="I69" s="61"/>
      <c r="J69" s="61"/>
      <c r="K69" s="61"/>
      <c r="L69" s="61">
        <f>I69-G69</f>
        <v>0</v>
      </c>
      <c r="M69" s="63" t="e">
        <f t="shared" si="3"/>
        <v>#DIV/0!</v>
      </c>
      <c r="N69" s="61">
        <f t="shared" si="13"/>
        <v>0</v>
      </c>
      <c r="O69" s="63" t="e">
        <f t="shared" si="0"/>
        <v>#DIV/0!</v>
      </c>
      <c r="P69" s="61">
        <f t="shared" si="11"/>
        <v>0</v>
      </c>
      <c r="Q69" s="68"/>
    </row>
    <row r="70" spans="1:17" ht="128.25" customHeight="1" hidden="1" outlineLevel="5">
      <c r="A70" s="64" t="s">
        <v>113</v>
      </c>
      <c r="B70" s="65"/>
      <c r="C70" s="59" t="s">
        <v>115</v>
      </c>
      <c r="D70" s="60" t="s">
        <v>113</v>
      </c>
      <c r="E70" s="61"/>
      <c r="F70" s="61"/>
      <c r="G70" s="62">
        <f t="shared" si="12"/>
        <v>0</v>
      </c>
      <c r="H70" s="63" t="e">
        <f t="shared" si="10"/>
        <v>#DIV/0!</v>
      </c>
      <c r="I70" s="61"/>
      <c r="J70" s="61"/>
      <c r="K70" s="61"/>
      <c r="L70" s="61">
        <f>I70-G70</f>
        <v>0</v>
      </c>
      <c r="M70" s="63" t="e">
        <f t="shared" si="3"/>
        <v>#DIV/0!</v>
      </c>
      <c r="N70" s="61">
        <f t="shared" si="13"/>
        <v>0</v>
      </c>
      <c r="O70" s="63" t="e">
        <f t="shared" si="0"/>
        <v>#DIV/0!</v>
      </c>
      <c r="P70" s="61">
        <f t="shared" si="11"/>
        <v>0</v>
      </c>
      <c r="Q70" s="68"/>
    </row>
    <row r="71" spans="1:17" ht="171" customHeight="1" hidden="1" outlineLevel="5">
      <c r="A71" s="64" t="s">
        <v>116</v>
      </c>
      <c r="B71" s="65"/>
      <c r="C71" s="59" t="s">
        <v>117</v>
      </c>
      <c r="D71" s="60" t="s">
        <v>116</v>
      </c>
      <c r="E71" s="61"/>
      <c r="F71" s="61"/>
      <c r="G71" s="62">
        <f t="shared" si="12"/>
        <v>0</v>
      </c>
      <c r="H71" s="63" t="e">
        <f t="shared" si="10"/>
        <v>#DIV/0!</v>
      </c>
      <c r="I71" s="61"/>
      <c r="J71" s="61"/>
      <c r="K71" s="61"/>
      <c r="L71" s="61">
        <f>I71-G71</f>
        <v>0</v>
      </c>
      <c r="M71" s="63" t="e">
        <f t="shared" si="3"/>
        <v>#DIV/0!</v>
      </c>
      <c r="N71" s="61">
        <f t="shared" si="13"/>
        <v>0</v>
      </c>
      <c r="O71" s="63" t="e">
        <f t="shared" si="0"/>
        <v>#DIV/0!</v>
      </c>
      <c r="P71" s="61">
        <f t="shared" si="11"/>
        <v>0</v>
      </c>
      <c r="Q71" s="68"/>
    </row>
    <row r="72" spans="1:17" ht="78.75" customHeight="1" outlineLevel="2" collapsed="1">
      <c r="A72" s="64" t="s">
        <v>118</v>
      </c>
      <c r="B72" s="65" t="s">
        <v>119</v>
      </c>
      <c r="C72" s="59" t="s">
        <v>120</v>
      </c>
      <c r="D72" s="60" t="s">
        <v>118</v>
      </c>
      <c r="E72" s="62">
        <v>105000</v>
      </c>
      <c r="F72" s="62">
        <v>40000</v>
      </c>
      <c r="G72" s="62">
        <f t="shared" si="12"/>
        <v>-65000</v>
      </c>
      <c r="H72" s="63">
        <f t="shared" si="10"/>
        <v>0.38095238095238093</v>
      </c>
      <c r="I72" s="61">
        <v>35000</v>
      </c>
      <c r="J72" s="61"/>
      <c r="K72" s="62">
        <v>55000</v>
      </c>
      <c r="L72" s="61">
        <f>K72-J72</f>
        <v>55000</v>
      </c>
      <c r="M72" s="63">
        <f t="shared" si="3"/>
        <v>-0.5384615384615384</v>
      </c>
      <c r="N72" s="61">
        <f t="shared" si="13"/>
        <v>20000</v>
      </c>
      <c r="O72" s="63">
        <f t="shared" si="0"/>
        <v>1.5714285714285714</v>
      </c>
      <c r="P72" s="61">
        <f t="shared" si="11"/>
        <v>15000</v>
      </c>
      <c r="Q72" s="66"/>
    </row>
    <row r="73" spans="1:17" ht="15" customHeight="1" hidden="1" outlineLevel="3">
      <c r="A73" s="64" t="s">
        <v>121</v>
      </c>
      <c r="B73" s="65"/>
      <c r="C73" s="59" t="s">
        <v>23</v>
      </c>
      <c r="D73" s="60" t="s">
        <v>121</v>
      </c>
      <c r="E73" s="61">
        <v>0</v>
      </c>
      <c r="F73" s="61">
        <v>0</v>
      </c>
      <c r="G73" s="62"/>
      <c r="H73" s="63" t="e">
        <f>E73/#REF!</f>
        <v>#REF!</v>
      </c>
      <c r="I73" s="61">
        <v>60000</v>
      </c>
      <c r="J73" s="61"/>
      <c r="K73" s="61">
        <v>0</v>
      </c>
      <c r="L73" s="61"/>
      <c r="M73" s="63" t="e">
        <f t="shared" si="3"/>
        <v>#DIV/0!</v>
      </c>
      <c r="N73" s="61"/>
      <c r="O73" s="63">
        <f t="shared" si="0"/>
        <v>0</v>
      </c>
      <c r="P73" s="61" t="e">
        <f>E73-#REF!</f>
        <v>#REF!</v>
      </c>
      <c r="Q73" s="68"/>
    </row>
    <row r="74" spans="1:17" ht="57" customHeight="1" hidden="1" outlineLevel="4">
      <c r="A74" s="64" t="s">
        <v>122</v>
      </c>
      <c r="B74" s="65"/>
      <c r="C74" s="59" t="s">
        <v>123</v>
      </c>
      <c r="D74" s="60" t="s">
        <v>122</v>
      </c>
      <c r="E74" s="61">
        <v>0</v>
      </c>
      <c r="F74" s="61">
        <v>0</v>
      </c>
      <c r="G74" s="62"/>
      <c r="H74" s="63" t="e">
        <f>E74/#REF!</f>
        <v>#REF!</v>
      </c>
      <c r="I74" s="61">
        <v>60000</v>
      </c>
      <c r="J74" s="61"/>
      <c r="K74" s="61">
        <v>0</v>
      </c>
      <c r="L74" s="61"/>
      <c r="M74" s="63" t="e">
        <f t="shared" si="3"/>
        <v>#DIV/0!</v>
      </c>
      <c r="N74" s="61"/>
      <c r="O74" s="63">
        <f t="shared" si="0"/>
        <v>0</v>
      </c>
      <c r="P74" s="61" t="e">
        <f>E74-#REF!</f>
        <v>#REF!</v>
      </c>
      <c r="Q74" s="68"/>
    </row>
    <row r="75" spans="1:17" ht="71.25" customHeight="1" hidden="1" outlineLevel="5">
      <c r="A75" s="64" t="s">
        <v>122</v>
      </c>
      <c r="B75" s="65"/>
      <c r="C75" s="59" t="s">
        <v>124</v>
      </c>
      <c r="D75" s="60" t="s">
        <v>122</v>
      </c>
      <c r="E75" s="51">
        <v>-23389.69</v>
      </c>
      <c r="F75" s="61">
        <v>0</v>
      </c>
      <c r="G75" s="62"/>
      <c r="H75" s="63" t="e">
        <f>E75/#REF!</f>
        <v>#REF!</v>
      </c>
      <c r="I75" s="61">
        <v>60000</v>
      </c>
      <c r="J75" s="61"/>
      <c r="K75" s="61">
        <v>0</v>
      </c>
      <c r="L75" s="61"/>
      <c r="M75" s="63" t="e">
        <f t="shared" si="3"/>
        <v>#DIV/0!</v>
      </c>
      <c r="N75" s="61"/>
      <c r="O75" s="63">
        <f t="shared" si="0"/>
        <v>0</v>
      </c>
      <c r="P75" s="61" t="e">
        <f>E75-#REF!</f>
        <v>#REF!</v>
      </c>
      <c r="Q75" s="68"/>
    </row>
    <row r="76" spans="1:17" s="32" customFormat="1" ht="83.25" customHeight="1" outlineLevel="1" collapsed="1">
      <c r="A76" s="24" t="s">
        <v>125</v>
      </c>
      <c r="B76" s="48" t="s">
        <v>126</v>
      </c>
      <c r="C76" s="49" t="s">
        <v>127</v>
      </c>
      <c r="D76" s="50" t="s">
        <v>125</v>
      </c>
      <c r="E76" s="51">
        <v>-23389.69</v>
      </c>
      <c r="F76" s="51">
        <v>-15657.97</v>
      </c>
      <c r="G76" s="58">
        <f>F76-E76</f>
        <v>7731.719999999999</v>
      </c>
      <c r="H76" s="54">
        <f>F76/E76</f>
        <v>0.6694389707601939</v>
      </c>
      <c r="I76" s="51"/>
      <c r="J76" s="51"/>
      <c r="K76" s="51">
        <v>942.29</v>
      </c>
      <c r="L76" s="51">
        <f>K76-J76</f>
        <v>942.29</v>
      </c>
      <c r="M76" s="54"/>
      <c r="N76" s="51"/>
      <c r="O76" s="54"/>
      <c r="P76" s="51">
        <f>K76-F76</f>
        <v>16600.26</v>
      </c>
      <c r="Q76" s="56"/>
    </row>
    <row r="77" spans="1:17" s="32" customFormat="1" ht="15.75" customHeight="1" hidden="1" outlineLevel="3">
      <c r="A77" s="24" t="s">
        <v>128</v>
      </c>
      <c r="B77" s="48"/>
      <c r="C77" s="49" t="s">
        <v>23</v>
      </c>
      <c r="D77" s="50" t="s">
        <v>128</v>
      </c>
      <c r="E77" s="51">
        <v>78.92</v>
      </c>
      <c r="F77" s="51">
        <v>78.92</v>
      </c>
      <c r="G77" s="58"/>
      <c r="H77" s="54" t="e">
        <f>E77/#REF!</f>
        <v>#REF!</v>
      </c>
      <c r="I77" s="51">
        <v>0</v>
      </c>
      <c r="J77" s="51"/>
      <c r="K77" s="51">
        <v>78.92</v>
      </c>
      <c r="L77" s="51"/>
      <c r="M77" s="54" t="e">
        <f>I77/G77</f>
        <v>#DIV/0!</v>
      </c>
      <c r="N77" s="51"/>
      <c r="O77" s="54" t="e">
        <f t="shared" si="0"/>
        <v>#DIV/0!</v>
      </c>
      <c r="P77" s="51" t="e">
        <f>E77-#REF!</f>
        <v>#REF!</v>
      </c>
      <c r="Q77" s="69"/>
    </row>
    <row r="78" spans="1:17" s="32" customFormat="1" ht="180" customHeight="1" hidden="1" outlineLevel="4">
      <c r="A78" s="24" t="s">
        <v>129</v>
      </c>
      <c r="B78" s="48"/>
      <c r="C78" s="49" t="s">
        <v>130</v>
      </c>
      <c r="D78" s="50" t="s">
        <v>129</v>
      </c>
      <c r="E78" s="51">
        <v>78.92</v>
      </c>
      <c r="F78" s="51">
        <v>78.92</v>
      </c>
      <c r="G78" s="58"/>
      <c r="H78" s="54" t="e">
        <f>E78/#REF!</f>
        <v>#REF!</v>
      </c>
      <c r="I78" s="51">
        <v>0</v>
      </c>
      <c r="J78" s="51"/>
      <c r="K78" s="51">
        <v>78.92</v>
      </c>
      <c r="L78" s="51"/>
      <c r="M78" s="54" t="e">
        <f>I78/G78</f>
        <v>#DIV/0!</v>
      </c>
      <c r="N78" s="51"/>
      <c r="O78" s="54" t="e">
        <f t="shared" si="0"/>
        <v>#DIV/0!</v>
      </c>
      <c r="P78" s="51" t="e">
        <f>E78-#REF!</f>
        <v>#REF!</v>
      </c>
      <c r="Q78" s="69"/>
    </row>
    <row r="79" spans="1:17" s="32" customFormat="1" ht="180" customHeight="1" hidden="1" outlineLevel="5">
      <c r="A79" s="24" t="s">
        <v>131</v>
      </c>
      <c r="B79" s="48"/>
      <c r="C79" s="49" t="s">
        <v>132</v>
      </c>
      <c r="D79" s="50" t="s">
        <v>131</v>
      </c>
      <c r="E79" s="72">
        <f>E80+E89+E105+E108+E111+E112</f>
        <v>106887173.90000002</v>
      </c>
      <c r="F79" s="51">
        <v>78.92</v>
      </c>
      <c r="G79" s="58"/>
      <c r="H79" s="54" t="e">
        <f>E79/#REF!</f>
        <v>#REF!</v>
      </c>
      <c r="I79" s="51">
        <v>0</v>
      </c>
      <c r="J79" s="51"/>
      <c r="K79" s="51">
        <v>78.92</v>
      </c>
      <c r="L79" s="51"/>
      <c r="M79" s="54" t="e">
        <f>I79/G79</f>
        <v>#DIV/0!</v>
      </c>
      <c r="N79" s="51"/>
      <c r="O79" s="54" t="e">
        <f>K79/I79</f>
        <v>#DIV/0!</v>
      </c>
      <c r="P79" s="51" t="e">
        <f>E79-#REF!</f>
        <v>#REF!</v>
      </c>
      <c r="Q79" s="69"/>
    </row>
    <row r="80" spans="1:17" s="32" customFormat="1" ht="39" customHeight="1" outlineLevel="5">
      <c r="A80" s="24"/>
      <c r="B80" s="48" t="s">
        <v>133</v>
      </c>
      <c r="C80" s="70" t="s">
        <v>134</v>
      </c>
      <c r="D80" s="71"/>
      <c r="E80" s="72">
        <f>E81+E90+E106+E109+E112+E113</f>
        <v>73494552.89</v>
      </c>
      <c r="F80" s="72">
        <f>F81+F90+F106+F109+F112+F113</f>
        <v>31101346.520000003</v>
      </c>
      <c r="G80" s="72">
        <f>G81+G90+G106+G109+G112+G113</f>
        <v>-42386108.830000006</v>
      </c>
      <c r="H80" s="72">
        <f>F80/E80</f>
        <v>0.42317893363539044</v>
      </c>
      <c r="I80" s="72">
        <f>I81+I90+I106+I109+I112+I113</f>
        <v>129125832.09</v>
      </c>
      <c r="J80" s="72">
        <f>J81+J90+J106+J109+J112+J113</f>
        <v>2230316.48</v>
      </c>
      <c r="K80" s="72">
        <f>K81+K90+K106+K109+K112+K113</f>
        <v>75873275.33</v>
      </c>
      <c r="L80" s="72">
        <f>K80-J80</f>
        <v>73642958.85</v>
      </c>
      <c r="M80" s="72" t="e">
        <f>M81+M90+M106+M109+M112+M113</f>
        <v>#DIV/0!</v>
      </c>
      <c r="N80" s="72">
        <f>N81+N90+N106+N109+N112+N113</f>
        <v>-53252556.760000005</v>
      </c>
      <c r="O80" s="156">
        <f aca="true" t="shared" si="14" ref="O80:O127">K80/I80</f>
        <v>0.5875917630262916</v>
      </c>
      <c r="P80" s="72">
        <f>K80-F80</f>
        <v>44771928.809999995</v>
      </c>
      <c r="Q80" s="56"/>
    </row>
    <row r="81" spans="1:17" s="32" customFormat="1" ht="72" customHeight="1" outlineLevel="1">
      <c r="A81" s="24" t="s">
        <v>135</v>
      </c>
      <c r="B81" s="48" t="s">
        <v>136</v>
      </c>
      <c r="C81" s="49" t="s">
        <v>137</v>
      </c>
      <c r="D81" s="50" t="s">
        <v>135</v>
      </c>
      <c r="E81" s="51">
        <f>E82+E83+E84+E85+E89</f>
        <v>37416244.75</v>
      </c>
      <c r="F81" s="51">
        <f>F82+F83+F84+F85+F89</f>
        <v>15965263.24</v>
      </c>
      <c r="G81" s="58">
        <f>G82+G83+G85+G89</f>
        <v>-21421741.369999997</v>
      </c>
      <c r="H81" s="54">
        <f>F81/E81</f>
        <v>0.42669336131066443</v>
      </c>
      <c r="I81" s="51">
        <f>I82+I83+I84+I85+I89</f>
        <v>26290475.19</v>
      </c>
      <c r="J81" s="51">
        <f>J82+J83+J84+J85+J89</f>
        <v>859800</v>
      </c>
      <c r="K81" s="51">
        <f>K82+K83+K84+K85+K89</f>
        <v>11902906.52</v>
      </c>
      <c r="L81" s="51">
        <f>K81-J81</f>
        <v>11043106.52</v>
      </c>
      <c r="M81" s="54">
        <f>I81/G81</f>
        <v>-1.227280020606467</v>
      </c>
      <c r="N81" s="51">
        <f>N82+N83+N84+N85+N89</f>
        <v>-14387568.670000002</v>
      </c>
      <c r="O81" s="54">
        <f t="shared" si="14"/>
        <v>0.45274596347073476</v>
      </c>
      <c r="P81" s="51">
        <f>K81-F81</f>
        <v>-4062356.7200000007</v>
      </c>
      <c r="Q81" s="56"/>
    </row>
    <row r="82" spans="1:17" ht="66.75" customHeight="1" outlineLevel="4">
      <c r="A82" s="64" t="s">
        <v>138</v>
      </c>
      <c r="B82" s="65" t="s">
        <v>139</v>
      </c>
      <c r="C82" s="59" t="s">
        <v>140</v>
      </c>
      <c r="D82" s="60" t="s">
        <v>138</v>
      </c>
      <c r="E82" s="61">
        <v>24363527.29</v>
      </c>
      <c r="F82" s="61">
        <v>7826620.7</v>
      </c>
      <c r="G82" s="62">
        <f>F82-E82</f>
        <v>-16536906.59</v>
      </c>
      <c r="H82" s="63">
        <f>F82/E82</f>
        <v>0.32124333257821963</v>
      </c>
      <c r="I82" s="61">
        <v>15000000</v>
      </c>
      <c r="J82" s="61">
        <v>350000</v>
      </c>
      <c r="K82" s="61">
        <f>6526413.67+32259.03</f>
        <v>6558672.7</v>
      </c>
      <c r="L82" s="61">
        <f>K82-J82</f>
        <v>6208672.7</v>
      </c>
      <c r="M82" s="63">
        <f>I82/G82</f>
        <v>-0.9070620262843245</v>
      </c>
      <c r="N82" s="61">
        <f>K82-I82</f>
        <v>-8441327.3</v>
      </c>
      <c r="O82" s="63">
        <f t="shared" si="14"/>
        <v>0.4372448466666667</v>
      </c>
      <c r="P82" s="61">
        <f>K82-F82</f>
        <v>-1267948</v>
      </c>
      <c r="Q82" s="66" t="s">
        <v>268</v>
      </c>
    </row>
    <row r="83" spans="1:17" ht="61.5" customHeight="1" outlineLevel="4">
      <c r="A83" s="64" t="s">
        <v>141</v>
      </c>
      <c r="B83" s="65" t="s">
        <v>142</v>
      </c>
      <c r="C83" s="59" t="s">
        <v>143</v>
      </c>
      <c r="D83" s="60" t="s">
        <v>141</v>
      </c>
      <c r="E83" s="61">
        <v>977974.72</v>
      </c>
      <c r="F83" s="61">
        <v>433398.59</v>
      </c>
      <c r="G83" s="62">
        <f aca="true" t="shared" si="15" ref="G83:G89">F83-E83</f>
        <v>-544576.1299999999</v>
      </c>
      <c r="H83" s="63">
        <f aca="true" t="shared" si="16" ref="H83:H89">F83/E83</f>
        <v>0.44315929761456413</v>
      </c>
      <c r="I83" s="61">
        <v>987235.05</v>
      </c>
      <c r="J83" s="61">
        <v>109800</v>
      </c>
      <c r="K83" s="61">
        <f>535557.42+15912.5</f>
        <v>551469.92</v>
      </c>
      <c r="L83" s="61">
        <f aca="true" t="shared" si="17" ref="L83:L89">K83-J83</f>
        <v>441669.92000000004</v>
      </c>
      <c r="M83" s="63">
        <f>I83/G83</f>
        <v>-1.8128503906331705</v>
      </c>
      <c r="N83" s="61">
        <f aca="true" t="shared" si="18" ref="N83:N89">K83-I83</f>
        <v>-435765.13</v>
      </c>
      <c r="O83" s="63">
        <f t="shared" si="14"/>
        <v>0.5586004265144354</v>
      </c>
      <c r="P83" s="61">
        <f aca="true" t="shared" si="19" ref="P83:P89">K83-F83</f>
        <v>118071.33000000002</v>
      </c>
      <c r="Q83" s="66"/>
    </row>
    <row r="84" spans="1:17" ht="108" customHeight="1" outlineLevel="4">
      <c r="A84" s="64"/>
      <c r="B84" s="65" t="s">
        <v>144</v>
      </c>
      <c r="C84" s="59" t="s">
        <v>145</v>
      </c>
      <c r="D84" s="60" t="s">
        <v>146</v>
      </c>
      <c r="E84" s="61">
        <v>58480.28</v>
      </c>
      <c r="F84" s="61">
        <v>29240.14</v>
      </c>
      <c r="G84" s="62">
        <f t="shared" si="15"/>
        <v>-29240.14</v>
      </c>
      <c r="H84" s="63">
        <f t="shared" si="16"/>
        <v>0.5</v>
      </c>
      <c r="I84" s="61">
        <v>29240.14</v>
      </c>
      <c r="J84" s="61"/>
      <c r="K84" s="61">
        <v>27691.96</v>
      </c>
      <c r="L84" s="61">
        <f t="shared" si="17"/>
        <v>27691.96</v>
      </c>
      <c r="M84" s="63"/>
      <c r="N84" s="61">
        <f t="shared" si="18"/>
        <v>-1548.1800000000003</v>
      </c>
      <c r="O84" s="63"/>
      <c r="P84" s="61"/>
      <c r="Q84" s="73" t="s">
        <v>147</v>
      </c>
    </row>
    <row r="85" spans="1:17" ht="38.25" customHeight="1" outlineLevel="2">
      <c r="A85" s="64" t="s">
        <v>148</v>
      </c>
      <c r="B85" s="65" t="s">
        <v>149</v>
      </c>
      <c r="C85" s="59" t="s">
        <v>150</v>
      </c>
      <c r="D85" s="60" t="s">
        <v>148</v>
      </c>
      <c r="E85" s="62">
        <v>5843542.64</v>
      </c>
      <c r="F85" s="62">
        <v>4547542.64</v>
      </c>
      <c r="G85" s="62">
        <f t="shared" si="15"/>
        <v>-1296000</v>
      </c>
      <c r="H85" s="63">
        <f t="shared" si="16"/>
        <v>0.7782167291586667</v>
      </c>
      <c r="I85" s="61">
        <v>4966000</v>
      </c>
      <c r="J85" s="61"/>
      <c r="K85" s="62">
        <v>2072500</v>
      </c>
      <c r="L85" s="61">
        <f t="shared" si="17"/>
        <v>2072500</v>
      </c>
      <c r="M85" s="63">
        <f aca="true" t="shared" si="20" ref="M85:M112">I85/G85</f>
        <v>-3.83179012345679</v>
      </c>
      <c r="N85" s="61">
        <f t="shared" si="18"/>
        <v>-2893500</v>
      </c>
      <c r="O85" s="63">
        <f t="shared" si="14"/>
        <v>0.41733789770438984</v>
      </c>
      <c r="P85" s="61">
        <f t="shared" si="19"/>
        <v>-2475042.6399999997</v>
      </c>
      <c r="Q85" s="66" t="s">
        <v>257</v>
      </c>
    </row>
    <row r="86" spans="1:17" ht="15" customHeight="1" hidden="1" outlineLevel="3">
      <c r="A86" s="64" t="s">
        <v>151</v>
      </c>
      <c r="B86" s="65"/>
      <c r="C86" s="59" t="s">
        <v>23</v>
      </c>
      <c r="D86" s="60" t="s">
        <v>151</v>
      </c>
      <c r="E86" s="61"/>
      <c r="F86" s="61"/>
      <c r="G86" s="62">
        <f t="shared" si="15"/>
        <v>0</v>
      </c>
      <c r="H86" s="63" t="e">
        <f t="shared" si="16"/>
        <v>#DIV/0!</v>
      </c>
      <c r="I86" s="61"/>
      <c r="J86" s="61"/>
      <c r="K86" s="61"/>
      <c r="L86" s="61">
        <f t="shared" si="17"/>
        <v>0</v>
      </c>
      <c r="M86" s="63" t="e">
        <f t="shared" si="20"/>
        <v>#DIV/0!</v>
      </c>
      <c r="N86" s="61">
        <f t="shared" si="18"/>
        <v>0</v>
      </c>
      <c r="O86" s="63" t="e">
        <f t="shared" si="14"/>
        <v>#DIV/0!</v>
      </c>
      <c r="P86" s="61">
        <f t="shared" si="19"/>
        <v>0</v>
      </c>
      <c r="Q86" s="68"/>
    </row>
    <row r="87" spans="1:17" ht="128.25" customHeight="1" hidden="1" outlineLevel="4">
      <c r="A87" s="64" t="s">
        <v>152</v>
      </c>
      <c r="B87" s="65"/>
      <c r="C87" s="59" t="s">
        <v>153</v>
      </c>
      <c r="D87" s="60" t="s">
        <v>152</v>
      </c>
      <c r="E87" s="61"/>
      <c r="F87" s="61"/>
      <c r="G87" s="62">
        <f t="shared" si="15"/>
        <v>0</v>
      </c>
      <c r="H87" s="63" t="e">
        <f t="shared" si="16"/>
        <v>#DIV/0!</v>
      </c>
      <c r="I87" s="61"/>
      <c r="J87" s="61"/>
      <c r="K87" s="61"/>
      <c r="L87" s="61">
        <f t="shared" si="17"/>
        <v>0</v>
      </c>
      <c r="M87" s="63" t="e">
        <f t="shared" si="20"/>
        <v>#DIV/0!</v>
      </c>
      <c r="N87" s="61">
        <f t="shared" si="18"/>
        <v>0</v>
      </c>
      <c r="O87" s="63" t="e">
        <f t="shared" si="14"/>
        <v>#DIV/0!</v>
      </c>
      <c r="P87" s="61">
        <f t="shared" si="19"/>
        <v>0</v>
      </c>
      <c r="Q87" s="68"/>
    </row>
    <row r="88" spans="1:17" ht="128.25" customHeight="1" hidden="1" outlineLevel="5">
      <c r="A88" s="64" t="s">
        <v>152</v>
      </c>
      <c r="B88" s="65"/>
      <c r="C88" s="59" t="s">
        <v>154</v>
      </c>
      <c r="D88" s="60" t="s">
        <v>152</v>
      </c>
      <c r="E88" s="61"/>
      <c r="F88" s="61"/>
      <c r="G88" s="62">
        <f t="shared" si="15"/>
        <v>0</v>
      </c>
      <c r="H88" s="63" t="e">
        <f t="shared" si="16"/>
        <v>#DIV/0!</v>
      </c>
      <c r="I88" s="61"/>
      <c r="J88" s="61"/>
      <c r="K88" s="61"/>
      <c r="L88" s="61">
        <f t="shared" si="17"/>
        <v>0</v>
      </c>
      <c r="M88" s="63" t="e">
        <f t="shared" si="20"/>
        <v>#DIV/0!</v>
      </c>
      <c r="N88" s="61">
        <f t="shared" si="18"/>
        <v>0</v>
      </c>
      <c r="O88" s="63" t="e">
        <f t="shared" si="14"/>
        <v>#DIV/0!</v>
      </c>
      <c r="P88" s="61">
        <f t="shared" si="19"/>
        <v>0</v>
      </c>
      <c r="Q88" s="68"/>
    </row>
    <row r="89" spans="1:17" ht="69.75" customHeight="1" outlineLevel="2" collapsed="1">
      <c r="A89" s="64" t="s">
        <v>155</v>
      </c>
      <c r="B89" s="65" t="s">
        <v>156</v>
      </c>
      <c r="C89" s="59" t="s">
        <v>157</v>
      </c>
      <c r="D89" s="60" t="s">
        <v>155</v>
      </c>
      <c r="E89" s="61">
        <v>6172719.82</v>
      </c>
      <c r="F89" s="61">
        <v>3128461.17</v>
      </c>
      <c r="G89" s="62">
        <f t="shared" si="15"/>
        <v>-3044258.6500000004</v>
      </c>
      <c r="H89" s="63">
        <f t="shared" si="16"/>
        <v>0.5068205363644708</v>
      </c>
      <c r="I89" s="61">
        <v>5308000</v>
      </c>
      <c r="J89" s="61">
        <v>400000</v>
      </c>
      <c r="K89" s="61">
        <v>2692571.94</v>
      </c>
      <c r="L89" s="61">
        <f t="shared" si="17"/>
        <v>2292571.94</v>
      </c>
      <c r="M89" s="63">
        <f t="shared" si="20"/>
        <v>-1.743610057575101</v>
      </c>
      <c r="N89" s="61">
        <f t="shared" si="18"/>
        <v>-2615428.06</v>
      </c>
      <c r="O89" s="63">
        <f t="shared" si="14"/>
        <v>0.5072667558402412</v>
      </c>
      <c r="P89" s="61">
        <f t="shared" si="19"/>
        <v>-435889.23</v>
      </c>
      <c r="Q89" s="66"/>
    </row>
    <row r="90" spans="1:17" s="32" customFormat="1" ht="98.25" customHeight="1" outlineLevel="1">
      <c r="A90" s="24" t="s">
        <v>158</v>
      </c>
      <c r="B90" s="48" t="s">
        <v>159</v>
      </c>
      <c r="C90" s="49" t="s">
        <v>160</v>
      </c>
      <c r="D90" s="50" t="s">
        <v>158</v>
      </c>
      <c r="E90" s="51">
        <v>485335.25</v>
      </c>
      <c r="F90" s="51">
        <v>200111.47</v>
      </c>
      <c r="G90" s="58">
        <f>F90-E90</f>
        <v>-285223.78</v>
      </c>
      <c r="H90" s="54">
        <f>F90/E90</f>
        <v>0.4123159609774893</v>
      </c>
      <c r="I90" s="51">
        <v>231800</v>
      </c>
      <c r="J90" s="51">
        <v>0</v>
      </c>
      <c r="K90" s="51">
        <f>89956.79+312.77</f>
        <v>90269.56</v>
      </c>
      <c r="L90" s="51">
        <f>K90-J90</f>
        <v>90269.56</v>
      </c>
      <c r="M90" s="54">
        <f t="shared" si="20"/>
        <v>-0.8126952107569712</v>
      </c>
      <c r="N90" s="51">
        <f>K90-I90</f>
        <v>-141530.44</v>
      </c>
      <c r="O90" s="54">
        <f t="shared" si="14"/>
        <v>0.38942864538395167</v>
      </c>
      <c r="P90" s="51">
        <f>K90-F90</f>
        <v>-109841.91</v>
      </c>
      <c r="Q90" s="74"/>
    </row>
    <row r="91" spans="1:17" s="32" customFormat="1" ht="15.75" customHeight="1" hidden="1" outlineLevel="3">
      <c r="A91" s="24" t="s">
        <v>161</v>
      </c>
      <c r="B91" s="48"/>
      <c r="C91" s="49" t="s">
        <v>23</v>
      </c>
      <c r="D91" s="50" t="s">
        <v>161</v>
      </c>
      <c r="E91" s="51">
        <v>2890.68</v>
      </c>
      <c r="F91" s="51">
        <v>2890.68</v>
      </c>
      <c r="G91" s="58"/>
      <c r="H91" s="54">
        <f aca="true" t="shared" si="21" ref="H91:H130">F91/E91</f>
        <v>1</v>
      </c>
      <c r="I91" s="51">
        <v>33800</v>
      </c>
      <c r="J91" s="51"/>
      <c r="K91" s="51">
        <v>2890.68</v>
      </c>
      <c r="L91" s="51">
        <f aca="true" t="shared" si="22" ref="L91:L120">K91-J91</f>
        <v>2890.68</v>
      </c>
      <c r="M91" s="54" t="e">
        <f t="shared" si="20"/>
        <v>#DIV/0!</v>
      </c>
      <c r="N91" s="51">
        <f aca="true" t="shared" si="23" ref="N91:N106">K91-I91</f>
        <v>-30909.32</v>
      </c>
      <c r="O91" s="54">
        <f t="shared" si="14"/>
        <v>0.08552307692307692</v>
      </c>
      <c r="P91" s="51">
        <f aca="true" t="shared" si="24" ref="P91:P130">K91-F91</f>
        <v>0</v>
      </c>
      <c r="Q91" s="69"/>
    </row>
    <row r="92" spans="1:17" s="32" customFormat="1" ht="90" customHeight="1" hidden="1" outlineLevel="4">
      <c r="A92" s="24" t="s">
        <v>162</v>
      </c>
      <c r="B92" s="48"/>
      <c r="C92" s="49" t="s">
        <v>163</v>
      </c>
      <c r="D92" s="50" t="s">
        <v>162</v>
      </c>
      <c r="E92" s="51">
        <v>0</v>
      </c>
      <c r="F92" s="51">
        <v>2890.68</v>
      </c>
      <c r="G92" s="58"/>
      <c r="H92" s="54" t="e">
        <f t="shared" si="21"/>
        <v>#DIV/0!</v>
      </c>
      <c r="I92" s="51">
        <v>33800</v>
      </c>
      <c r="J92" s="51"/>
      <c r="K92" s="51">
        <v>2890.68</v>
      </c>
      <c r="L92" s="51">
        <f t="shared" si="22"/>
        <v>2890.68</v>
      </c>
      <c r="M92" s="54" t="e">
        <f t="shared" si="20"/>
        <v>#DIV/0!</v>
      </c>
      <c r="N92" s="51">
        <f t="shared" si="23"/>
        <v>-30909.32</v>
      </c>
      <c r="O92" s="54">
        <f t="shared" si="14"/>
        <v>0.08552307692307692</v>
      </c>
      <c r="P92" s="51">
        <f t="shared" si="24"/>
        <v>0</v>
      </c>
      <c r="Q92" s="69"/>
    </row>
    <row r="93" spans="1:17" s="32" customFormat="1" ht="90" customHeight="1" hidden="1" outlineLevel="5">
      <c r="A93" s="24" t="s">
        <v>162</v>
      </c>
      <c r="B93" s="48"/>
      <c r="C93" s="49" t="s">
        <v>164</v>
      </c>
      <c r="D93" s="50" t="s">
        <v>162</v>
      </c>
      <c r="E93" s="51">
        <v>2890.68</v>
      </c>
      <c r="F93" s="51">
        <v>0</v>
      </c>
      <c r="G93" s="58"/>
      <c r="H93" s="54">
        <f t="shared" si="21"/>
        <v>0</v>
      </c>
      <c r="I93" s="51">
        <v>33800</v>
      </c>
      <c r="J93" s="51"/>
      <c r="K93" s="51">
        <v>0</v>
      </c>
      <c r="L93" s="51">
        <f t="shared" si="22"/>
        <v>0</v>
      </c>
      <c r="M93" s="54" t="e">
        <f t="shared" si="20"/>
        <v>#DIV/0!</v>
      </c>
      <c r="N93" s="51">
        <f t="shared" si="23"/>
        <v>-33800</v>
      </c>
      <c r="O93" s="54">
        <f t="shared" si="14"/>
        <v>0</v>
      </c>
      <c r="P93" s="51">
        <f t="shared" si="24"/>
        <v>0</v>
      </c>
      <c r="Q93" s="69"/>
    </row>
    <row r="94" spans="1:17" s="32" customFormat="1" ht="90" customHeight="1" hidden="1" outlineLevel="5">
      <c r="A94" s="24" t="s">
        <v>165</v>
      </c>
      <c r="B94" s="48"/>
      <c r="C94" s="49" t="s">
        <v>164</v>
      </c>
      <c r="D94" s="50" t="s">
        <v>165</v>
      </c>
      <c r="E94" s="51">
        <v>53.23</v>
      </c>
      <c r="F94" s="51">
        <v>2890.68</v>
      </c>
      <c r="G94" s="58"/>
      <c r="H94" s="54">
        <f t="shared" si="21"/>
        <v>54.30546684200639</v>
      </c>
      <c r="I94" s="51">
        <v>0</v>
      </c>
      <c r="J94" s="51"/>
      <c r="K94" s="51">
        <v>2890.68</v>
      </c>
      <c r="L94" s="51">
        <f t="shared" si="22"/>
        <v>2890.68</v>
      </c>
      <c r="M94" s="54" t="e">
        <f t="shared" si="20"/>
        <v>#DIV/0!</v>
      </c>
      <c r="N94" s="51">
        <f t="shared" si="23"/>
        <v>2890.68</v>
      </c>
      <c r="O94" s="54" t="e">
        <f t="shared" si="14"/>
        <v>#DIV/0!</v>
      </c>
      <c r="P94" s="51">
        <f t="shared" si="24"/>
        <v>0</v>
      </c>
      <c r="Q94" s="69"/>
    </row>
    <row r="95" spans="1:17" s="32" customFormat="1" ht="15.75" customHeight="1" hidden="1" outlineLevel="3">
      <c r="A95" s="24" t="s">
        <v>166</v>
      </c>
      <c r="B95" s="48"/>
      <c r="C95" s="49" t="s">
        <v>23</v>
      </c>
      <c r="D95" s="50" t="s">
        <v>166</v>
      </c>
      <c r="E95" s="51">
        <v>53.23</v>
      </c>
      <c r="F95" s="51">
        <v>53.23</v>
      </c>
      <c r="G95" s="58"/>
      <c r="H95" s="54">
        <f t="shared" si="21"/>
        <v>1</v>
      </c>
      <c r="I95" s="51">
        <v>0</v>
      </c>
      <c r="J95" s="51"/>
      <c r="K95" s="51">
        <v>53.23</v>
      </c>
      <c r="L95" s="51">
        <f t="shared" si="22"/>
        <v>53.23</v>
      </c>
      <c r="M95" s="54" t="e">
        <f t="shared" si="20"/>
        <v>#DIV/0!</v>
      </c>
      <c r="N95" s="51">
        <f t="shared" si="23"/>
        <v>53.23</v>
      </c>
      <c r="O95" s="54" t="e">
        <f t="shared" si="14"/>
        <v>#DIV/0!</v>
      </c>
      <c r="P95" s="51">
        <f t="shared" si="24"/>
        <v>0</v>
      </c>
      <c r="Q95" s="69"/>
    </row>
    <row r="96" spans="1:17" s="32" customFormat="1" ht="90" customHeight="1" hidden="1" outlineLevel="4">
      <c r="A96" s="24" t="s">
        <v>167</v>
      </c>
      <c r="B96" s="48"/>
      <c r="C96" s="49" t="s">
        <v>168</v>
      </c>
      <c r="D96" s="50" t="s">
        <v>167</v>
      </c>
      <c r="E96" s="51">
        <v>53.23</v>
      </c>
      <c r="F96" s="51">
        <v>53.23</v>
      </c>
      <c r="G96" s="58"/>
      <c r="H96" s="54">
        <f t="shared" si="21"/>
        <v>1</v>
      </c>
      <c r="I96" s="51">
        <v>0</v>
      </c>
      <c r="J96" s="51"/>
      <c r="K96" s="51">
        <v>53.23</v>
      </c>
      <c r="L96" s="51">
        <f t="shared" si="22"/>
        <v>53.23</v>
      </c>
      <c r="M96" s="54" t="e">
        <f t="shared" si="20"/>
        <v>#DIV/0!</v>
      </c>
      <c r="N96" s="51">
        <f t="shared" si="23"/>
        <v>53.23</v>
      </c>
      <c r="O96" s="54" t="e">
        <f t="shared" si="14"/>
        <v>#DIV/0!</v>
      </c>
      <c r="P96" s="51">
        <f t="shared" si="24"/>
        <v>0</v>
      </c>
      <c r="Q96" s="69"/>
    </row>
    <row r="97" spans="1:17" s="32" customFormat="1" ht="90" customHeight="1" hidden="1" outlineLevel="5">
      <c r="A97" s="24" t="s">
        <v>169</v>
      </c>
      <c r="B97" s="48"/>
      <c r="C97" s="49" t="s">
        <v>170</v>
      </c>
      <c r="D97" s="50" t="s">
        <v>169</v>
      </c>
      <c r="E97" s="51">
        <v>481.81</v>
      </c>
      <c r="F97" s="51">
        <v>53.23</v>
      </c>
      <c r="G97" s="58"/>
      <c r="H97" s="54">
        <f t="shared" si="21"/>
        <v>0.11047923455303957</v>
      </c>
      <c r="I97" s="51">
        <v>0</v>
      </c>
      <c r="J97" s="51"/>
      <c r="K97" s="51">
        <v>53.23</v>
      </c>
      <c r="L97" s="51">
        <f t="shared" si="22"/>
        <v>53.23</v>
      </c>
      <c r="M97" s="54" t="e">
        <f t="shared" si="20"/>
        <v>#DIV/0!</v>
      </c>
      <c r="N97" s="51">
        <f t="shared" si="23"/>
        <v>53.23</v>
      </c>
      <c r="O97" s="54" t="e">
        <f t="shared" si="14"/>
        <v>#DIV/0!</v>
      </c>
      <c r="P97" s="51">
        <f t="shared" si="24"/>
        <v>0</v>
      </c>
      <c r="Q97" s="69"/>
    </row>
    <row r="98" spans="1:17" s="32" customFormat="1" ht="15.75" customHeight="1" hidden="1" outlineLevel="3">
      <c r="A98" s="24" t="s">
        <v>171</v>
      </c>
      <c r="B98" s="48"/>
      <c r="C98" s="49" t="s">
        <v>23</v>
      </c>
      <c r="D98" s="50" t="s">
        <v>171</v>
      </c>
      <c r="E98" s="51">
        <v>481.81</v>
      </c>
      <c r="F98" s="51">
        <v>481.81</v>
      </c>
      <c r="G98" s="58"/>
      <c r="H98" s="54">
        <f t="shared" si="21"/>
        <v>1</v>
      </c>
      <c r="I98" s="51">
        <v>59400</v>
      </c>
      <c r="J98" s="51"/>
      <c r="K98" s="51">
        <v>481.81</v>
      </c>
      <c r="L98" s="51">
        <f t="shared" si="22"/>
        <v>481.81</v>
      </c>
      <c r="M98" s="54" t="e">
        <f t="shared" si="20"/>
        <v>#DIV/0!</v>
      </c>
      <c r="N98" s="51">
        <f t="shared" si="23"/>
        <v>-58918.19</v>
      </c>
      <c r="O98" s="54">
        <f t="shared" si="14"/>
        <v>0.008111279461279462</v>
      </c>
      <c r="P98" s="51">
        <f t="shared" si="24"/>
        <v>0</v>
      </c>
      <c r="Q98" s="69"/>
    </row>
    <row r="99" spans="1:17" s="32" customFormat="1" ht="45" customHeight="1" hidden="1" outlineLevel="4">
      <c r="A99" s="24" t="s">
        <v>172</v>
      </c>
      <c r="B99" s="48"/>
      <c r="C99" s="49" t="s">
        <v>173</v>
      </c>
      <c r="D99" s="50" t="s">
        <v>172</v>
      </c>
      <c r="E99" s="51">
        <v>0</v>
      </c>
      <c r="F99" s="51">
        <v>481.81</v>
      </c>
      <c r="G99" s="58"/>
      <c r="H99" s="54" t="e">
        <f t="shared" si="21"/>
        <v>#DIV/0!</v>
      </c>
      <c r="I99" s="51">
        <v>59400</v>
      </c>
      <c r="J99" s="51"/>
      <c r="K99" s="51">
        <v>481.81</v>
      </c>
      <c r="L99" s="51">
        <f t="shared" si="22"/>
        <v>481.81</v>
      </c>
      <c r="M99" s="54" t="e">
        <f t="shared" si="20"/>
        <v>#DIV/0!</v>
      </c>
      <c r="N99" s="51">
        <f t="shared" si="23"/>
        <v>-58918.19</v>
      </c>
      <c r="O99" s="54">
        <f t="shared" si="14"/>
        <v>0.008111279461279462</v>
      </c>
      <c r="P99" s="51">
        <f t="shared" si="24"/>
        <v>0</v>
      </c>
      <c r="Q99" s="69"/>
    </row>
    <row r="100" spans="1:17" s="32" customFormat="1" ht="60" customHeight="1" hidden="1" outlineLevel="5">
      <c r="A100" s="24" t="s">
        <v>172</v>
      </c>
      <c r="B100" s="48"/>
      <c r="C100" s="49" t="s">
        <v>174</v>
      </c>
      <c r="D100" s="50" t="s">
        <v>172</v>
      </c>
      <c r="E100" s="51">
        <v>481.81</v>
      </c>
      <c r="F100" s="51">
        <v>0</v>
      </c>
      <c r="G100" s="58"/>
      <c r="H100" s="54">
        <f t="shared" si="21"/>
        <v>0</v>
      </c>
      <c r="I100" s="51">
        <v>59400</v>
      </c>
      <c r="J100" s="51"/>
      <c r="K100" s="51">
        <v>0</v>
      </c>
      <c r="L100" s="51">
        <f t="shared" si="22"/>
        <v>0</v>
      </c>
      <c r="M100" s="54" t="e">
        <f t="shared" si="20"/>
        <v>#DIV/0!</v>
      </c>
      <c r="N100" s="51">
        <f t="shared" si="23"/>
        <v>-59400</v>
      </c>
      <c r="O100" s="54">
        <f t="shared" si="14"/>
        <v>0</v>
      </c>
      <c r="P100" s="51">
        <f t="shared" si="24"/>
        <v>0</v>
      </c>
      <c r="Q100" s="69"/>
    </row>
    <row r="101" spans="1:17" s="32" customFormat="1" ht="60" customHeight="1" hidden="1" outlineLevel="5">
      <c r="A101" s="24" t="s">
        <v>175</v>
      </c>
      <c r="B101" s="48"/>
      <c r="C101" s="49" t="s">
        <v>176</v>
      </c>
      <c r="D101" s="50" t="s">
        <v>175</v>
      </c>
      <c r="E101" s="51">
        <v>39261.54</v>
      </c>
      <c r="F101" s="51">
        <v>481.81</v>
      </c>
      <c r="G101" s="58"/>
      <c r="H101" s="54">
        <f t="shared" si="21"/>
        <v>0.01227180594546215</v>
      </c>
      <c r="I101" s="51">
        <v>0</v>
      </c>
      <c r="J101" s="51"/>
      <c r="K101" s="51">
        <v>481.81</v>
      </c>
      <c r="L101" s="51">
        <f t="shared" si="22"/>
        <v>481.81</v>
      </c>
      <c r="M101" s="54" t="e">
        <f t="shared" si="20"/>
        <v>#DIV/0!</v>
      </c>
      <c r="N101" s="51">
        <f t="shared" si="23"/>
        <v>481.81</v>
      </c>
      <c r="O101" s="54" t="e">
        <f t="shared" si="14"/>
        <v>#DIV/0!</v>
      </c>
      <c r="P101" s="51">
        <f t="shared" si="24"/>
        <v>0</v>
      </c>
      <c r="Q101" s="69"/>
    </row>
    <row r="102" spans="1:17" s="32" customFormat="1" ht="15.75" customHeight="1" hidden="1" outlineLevel="3">
      <c r="A102" s="24" t="s">
        <v>177</v>
      </c>
      <c r="B102" s="48"/>
      <c r="C102" s="49" t="s">
        <v>23</v>
      </c>
      <c r="D102" s="50" t="s">
        <v>177</v>
      </c>
      <c r="E102" s="51">
        <v>39261.54</v>
      </c>
      <c r="F102" s="51">
        <v>39261.54</v>
      </c>
      <c r="G102" s="58"/>
      <c r="H102" s="54">
        <f t="shared" si="21"/>
        <v>1</v>
      </c>
      <c r="I102" s="51">
        <v>464900</v>
      </c>
      <c r="J102" s="51"/>
      <c r="K102" s="51">
        <v>39261.54</v>
      </c>
      <c r="L102" s="51">
        <f t="shared" si="22"/>
        <v>39261.54</v>
      </c>
      <c r="M102" s="54" t="e">
        <f t="shared" si="20"/>
        <v>#DIV/0!</v>
      </c>
      <c r="N102" s="51">
        <f t="shared" si="23"/>
        <v>-425638.46</v>
      </c>
      <c r="O102" s="54">
        <f t="shared" si="14"/>
        <v>0.0844515809851581</v>
      </c>
      <c r="P102" s="51">
        <f t="shared" si="24"/>
        <v>0</v>
      </c>
      <c r="Q102" s="69"/>
    </row>
    <row r="103" spans="1:17" s="32" customFormat="1" ht="60" customHeight="1" hidden="1" outlineLevel="4">
      <c r="A103" s="24" t="s">
        <v>178</v>
      </c>
      <c r="B103" s="48"/>
      <c r="C103" s="49" t="s">
        <v>179</v>
      </c>
      <c r="D103" s="50" t="s">
        <v>178</v>
      </c>
      <c r="E103" s="51">
        <v>0</v>
      </c>
      <c r="F103" s="51">
        <v>39261.54</v>
      </c>
      <c r="G103" s="58"/>
      <c r="H103" s="54" t="e">
        <f t="shared" si="21"/>
        <v>#DIV/0!</v>
      </c>
      <c r="I103" s="51">
        <v>464900</v>
      </c>
      <c r="J103" s="51"/>
      <c r="K103" s="51">
        <v>39261.54</v>
      </c>
      <c r="L103" s="51">
        <f t="shared" si="22"/>
        <v>39261.54</v>
      </c>
      <c r="M103" s="54" t="e">
        <f t="shared" si="20"/>
        <v>#DIV/0!</v>
      </c>
      <c r="N103" s="51">
        <f t="shared" si="23"/>
        <v>-425638.46</v>
      </c>
      <c r="O103" s="54">
        <f t="shared" si="14"/>
        <v>0.0844515809851581</v>
      </c>
      <c r="P103" s="51">
        <f t="shared" si="24"/>
        <v>0</v>
      </c>
      <c r="Q103" s="69"/>
    </row>
    <row r="104" spans="1:17" s="32" customFormat="1" ht="60" customHeight="1" hidden="1" outlineLevel="5">
      <c r="A104" s="24" t="s">
        <v>178</v>
      </c>
      <c r="B104" s="48"/>
      <c r="C104" s="49" t="s">
        <v>180</v>
      </c>
      <c r="D104" s="50" t="s">
        <v>178</v>
      </c>
      <c r="E104" s="51">
        <v>39261.54</v>
      </c>
      <c r="F104" s="51">
        <v>0</v>
      </c>
      <c r="G104" s="58"/>
      <c r="H104" s="54">
        <f t="shared" si="21"/>
        <v>0</v>
      </c>
      <c r="I104" s="51">
        <v>464900</v>
      </c>
      <c r="J104" s="51"/>
      <c r="K104" s="51">
        <v>0</v>
      </c>
      <c r="L104" s="51">
        <f t="shared" si="22"/>
        <v>0</v>
      </c>
      <c r="M104" s="54" t="e">
        <f t="shared" si="20"/>
        <v>#DIV/0!</v>
      </c>
      <c r="N104" s="51">
        <f t="shared" si="23"/>
        <v>-464900</v>
      </c>
      <c r="O104" s="54">
        <f t="shared" si="14"/>
        <v>0</v>
      </c>
      <c r="P104" s="51">
        <f t="shared" si="24"/>
        <v>0</v>
      </c>
      <c r="Q104" s="69"/>
    </row>
    <row r="105" spans="1:17" s="32" customFormat="1" ht="60" customHeight="1" hidden="1" outlineLevel="5">
      <c r="A105" s="24" t="s">
        <v>181</v>
      </c>
      <c r="B105" s="48"/>
      <c r="C105" s="49" t="s">
        <v>182</v>
      </c>
      <c r="D105" s="50" t="s">
        <v>181</v>
      </c>
      <c r="E105" s="51">
        <f>E106+E107</f>
        <v>10003098.77</v>
      </c>
      <c r="F105" s="51">
        <v>39261.54</v>
      </c>
      <c r="G105" s="58"/>
      <c r="H105" s="54">
        <f t="shared" si="21"/>
        <v>0.003924937752064204</v>
      </c>
      <c r="I105" s="51">
        <v>0</v>
      </c>
      <c r="J105" s="51"/>
      <c r="K105" s="51">
        <v>39261.54</v>
      </c>
      <c r="L105" s="51">
        <f t="shared" si="22"/>
        <v>39261.54</v>
      </c>
      <c r="M105" s="54" t="e">
        <f t="shared" si="20"/>
        <v>#DIV/0!</v>
      </c>
      <c r="N105" s="51">
        <f t="shared" si="23"/>
        <v>39261.54</v>
      </c>
      <c r="O105" s="54" t="e">
        <f t="shared" si="14"/>
        <v>#DIV/0!</v>
      </c>
      <c r="P105" s="51">
        <f t="shared" si="24"/>
        <v>0</v>
      </c>
      <c r="Q105" s="69"/>
    </row>
    <row r="106" spans="1:17" s="32" customFormat="1" ht="78.75" customHeight="1" outlineLevel="1" collapsed="1">
      <c r="A106" s="24" t="s">
        <v>183</v>
      </c>
      <c r="B106" s="48" t="s">
        <v>184</v>
      </c>
      <c r="C106" s="49" t="s">
        <v>185</v>
      </c>
      <c r="D106" s="50" t="s">
        <v>183</v>
      </c>
      <c r="E106" s="51">
        <f>E107+E108</f>
        <v>6949209.46</v>
      </c>
      <c r="F106" s="51">
        <f>F107+F108</f>
        <v>1390131.0999999999</v>
      </c>
      <c r="G106" s="58">
        <f>G107+G108</f>
        <v>-5559078.36</v>
      </c>
      <c r="H106" s="54">
        <f t="shared" si="21"/>
        <v>0.20004161739571452</v>
      </c>
      <c r="I106" s="51">
        <f>I107+I108</f>
        <v>21746234.24</v>
      </c>
      <c r="J106" s="51">
        <f>J107+J108</f>
        <v>217229</v>
      </c>
      <c r="K106" s="51">
        <f>K107+K108</f>
        <v>19787569.25</v>
      </c>
      <c r="L106" s="51">
        <f t="shared" si="22"/>
        <v>19570340.25</v>
      </c>
      <c r="M106" s="54">
        <f t="shared" si="20"/>
        <v>-3.911841645635662</v>
      </c>
      <c r="N106" s="51">
        <f t="shared" si="23"/>
        <v>-1958664.9899999984</v>
      </c>
      <c r="O106" s="54">
        <f t="shared" si="14"/>
        <v>0.9099308428124429</v>
      </c>
      <c r="P106" s="51">
        <f t="shared" si="24"/>
        <v>18397438.15</v>
      </c>
      <c r="Q106" s="56"/>
    </row>
    <row r="107" spans="1:17" ht="62.25" customHeight="1" outlineLevel="2">
      <c r="A107" s="64" t="s">
        <v>186</v>
      </c>
      <c r="B107" s="65" t="s">
        <v>187</v>
      </c>
      <c r="C107" s="59" t="s">
        <v>188</v>
      </c>
      <c r="D107" s="60" t="s">
        <v>186</v>
      </c>
      <c r="E107" s="61">
        <v>3053889.31</v>
      </c>
      <c r="F107" s="61">
        <v>1361963.64</v>
      </c>
      <c r="G107" s="62">
        <f>F107-E107</f>
        <v>-1691925.6700000002</v>
      </c>
      <c r="H107" s="63">
        <f t="shared" si="21"/>
        <v>0.44597675349274524</v>
      </c>
      <c r="I107" s="61">
        <v>3335156.7</v>
      </c>
      <c r="J107" s="61">
        <v>217229</v>
      </c>
      <c r="K107" s="61">
        <f>1263023.57+42486</f>
        <v>1305509.57</v>
      </c>
      <c r="L107" s="61">
        <f t="shared" si="22"/>
        <v>1088280.57</v>
      </c>
      <c r="M107" s="63">
        <f t="shared" si="20"/>
        <v>-1.9712193975991865</v>
      </c>
      <c r="N107" s="61">
        <f>K107-I107</f>
        <v>-2029647.1300000001</v>
      </c>
      <c r="O107" s="63">
        <f t="shared" si="14"/>
        <v>0.39143875008931367</v>
      </c>
      <c r="P107" s="61">
        <f t="shared" si="24"/>
        <v>-56454.06999999983</v>
      </c>
      <c r="Q107" s="74"/>
    </row>
    <row r="108" spans="1:17" ht="45.75" customHeight="1" outlineLevel="3">
      <c r="A108" s="64" t="s">
        <v>189</v>
      </c>
      <c r="B108" s="65" t="s">
        <v>190</v>
      </c>
      <c r="C108" s="59" t="s">
        <v>191</v>
      </c>
      <c r="D108" s="60" t="s">
        <v>192</v>
      </c>
      <c r="E108" s="62">
        <v>3895320.15</v>
      </c>
      <c r="F108" s="62">
        <v>28167.46</v>
      </c>
      <c r="G108" s="62">
        <f>F108-E108</f>
        <v>-3867152.69</v>
      </c>
      <c r="H108" s="63">
        <f t="shared" si="21"/>
        <v>0.007231102686129662</v>
      </c>
      <c r="I108" s="61">
        <v>18411077.54</v>
      </c>
      <c r="J108" s="61"/>
      <c r="K108" s="62">
        <f>18458099.3+23960.38</f>
        <v>18482059.68</v>
      </c>
      <c r="L108" s="61">
        <f t="shared" si="22"/>
        <v>18482059.68</v>
      </c>
      <c r="M108" s="63">
        <f t="shared" si="20"/>
        <v>-4.760887147696255</v>
      </c>
      <c r="N108" s="61">
        <f>K108-I108</f>
        <v>70982.1400000006</v>
      </c>
      <c r="O108" s="63">
        <f t="shared" si="14"/>
        <v>1.0038554038918028</v>
      </c>
      <c r="P108" s="61">
        <f t="shared" si="24"/>
        <v>18453892.22</v>
      </c>
      <c r="Q108" s="66" t="s">
        <v>292</v>
      </c>
    </row>
    <row r="109" spans="1:17" s="32" customFormat="1" ht="75" customHeight="1" outlineLevel="1">
      <c r="A109" s="24" t="s">
        <v>193</v>
      </c>
      <c r="B109" s="48" t="s">
        <v>194</v>
      </c>
      <c r="C109" s="49" t="s">
        <v>195</v>
      </c>
      <c r="D109" s="50" t="s">
        <v>193</v>
      </c>
      <c r="E109" s="51">
        <f>E110+E111</f>
        <v>19228417.560000002</v>
      </c>
      <c r="F109" s="51">
        <f>F110+F111</f>
        <v>7849231.32</v>
      </c>
      <c r="G109" s="58">
        <f>G110+G111</f>
        <v>-11379186.24</v>
      </c>
      <c r="H109" s="54">
        <f t="shared" si="21"/>
        <v>0.4082099473608477</v>
      </c>
      <c r="I109" s="51">
        <f>I110+I111</f>
        <v>63050705.53</v>
      </c>
      <c r="J109" s="51">
        <f>J110+J111</f>
        <v>200000</v>
      </c>
      <c r="K109" s="51">
        <f>K110+K111</f>
        <v>28488705.68</v>
      </c>
      <c r="L109" s="51">
        <f t="shared" si="22"/>
        <v>28288705.68</v>
      </c>
      <c r="M109" s="54">
        <f t="shared" si="20"/>
        <v>-5.540880006723574</v>
      </c>
      <c r="N109" s="51">
        <f>N110+N111</f>
        <v>-34561999.85</v>
      </c>
      <c r="O109" s="54">
        <f t="shared" si="14"/>
        <v>0.45183801577676014</v>
      </c>
      <c r="P109" s="51">
        <f t="shared" si="24"/>
        <v>20639474.36</v>
      </c>
      <c r="Q109" s="56"/>
    </row>
    <row r="110" spans="1:17" ht="75.75" customHeight="1" outlineLevel="2">
      <c r="A110" s="64" t="s">
        <v>196</v>
      </c>
      <c r="B110" s="65" t="s">
        <v>197</v>
      </c>
      <c r="C110" s="59" t="s">
        <v>198</v>
      </c>
      <c r="D110" s="60" t="s">
        <v>196</v>
      </c>
      <c r="E110" s="61">
        <v>7574993.66</v>
      </c>
      <c r="F110" s="61">
        <f>33366+3225820</f>
        <v>3259186</v>
      </c>
      <c r="G110" s="62">
        <f aca="true" t="shared" si="25" ref="G110:G130">F110-E110</f>
        <v>-4315807.66</v>
      </c>
      <c r="H110" s="63">
        <f t="shared" si="21"/>
        <v>0.4302559376663557</v>
      </c>
      <c r="I110" s="61">
        <v>37116405.53</v>
      </c>
      <c r="J110" s="61"/>
      <c r="K110" s="61">
        <f>16635360.94</f>
        <v>16635360.94</v>
      </c>
      <c r="L110" s="61">
        <f t="shared" si="22"/>
        <v>16635360.94</v>
      </c>
      <c r="M110" s="63">
        <f t="shared" si="20"/>
        <v>-8.600106504746321</v>
      </c>
      <c r="N110" s="61">
        <f>K110-I110</f>
        <v>-20481044.590000004</v>
      </c>
      <c r="O110" s="63">
        <f t="shared" si="14"/>
        <v>0.44819428774034087</v>
      </c>
      <c r="P110" s="61">
        <f t="shared" si="24"/>
        <v>13376174.94</v>
      </c>
      <c r="Q110" s="73"/>
    </row>
    <row r="111" spans="1:17" ht="36" customHeight="1" outlineLevel="2">
      <c r="A111" s="64" t="s">
        <v>199</v>
      </c>
      <c r="B111" s="65" t="s">
        <v>200</v>
      </c>
      <c r="C111" s="59" t="s">
        <v>201</v>
      </c>
      <c r="D111" s="60" t="s">
        <v>199</v>
      </c>
      <c r="E111" s="61">
        <v>11653423.9</v>
      </c>
      <c r="F111" s="61">
        <v>4590045.32</v>
      </c>
      <c r="G111" s="62">
        <f t="shared" si="25"/>
        <v>-7063378.58</v>
      </c>
      <c r="H111" s="63">
        <f t="shared" si="21"/>
        <v>0.3938795464224038</v>
      </c>
      <c r="I111" s="61">
        <v>25934300</v>
      </c>
      <c r="J111" s="61">
        <v>200000</v>
      </c>
      <c r="K111" s="61">
        <f>11806896.82+46447.92</f>
        <v>11853344.74</v>
      </c>
      <c r="L111" s="61">
        <f t="shared" si="22"/>
        <v>11653344.74</v>
      </c>
      <c r="M111" s="63">
        <f t="shared" si="20"/>
        <v>-3.6716565176660825</v>
      </c>
      <c r="N111" s="61">
        <f>K111-I111</f>
        <v>-14080955.26</v>
      </c>
      <c r="O111" s="63">
        <f t="shared" si="14"/>
        <v>0.45705281191318065</v>
      </c>
      <c r="P111" s="61">
        <f t="shared" si="24"/>
        <v>7263299.42</v>
      </c>
      <c r="Q111" s="66"/>
    </row>
    <row r="112" spans="1:17" s="32" customFormat="1" ht="106.5" customHeight="1" outlineLevel="1">
      <c r="A112" s="24" t="s">
        <v>202</v>
      </c>
      <c r="B112" s="48" t="s">
        <v>203</v>
      </c>
      <c r="C112" s="49" t="s">
        <v>204</v>
      </c>
      <c r="D112" s="50" t="s">
        <v>202</v>
      </c>
      <c r="E112" s="51">
        <v>1668058.37</v>
      </c>
      <c r="F112" s="51">
        <v>866782.28</v>
      </c>
      <c r="G112" s="58">
        <f t="shared" si="25"/>
        <v>-801276.0900000001</v>
      </c>
      <c r="H112" s="54">
        <f t="shared" si="21"/>
        <v>0.5196354609581199</v>
      </c>
      <c r="I112" s="51">
        <v>3801835.05</v>
      </c>
      <c r="J112" s="51">
        <v>35150</v>
      </c>
      <c r="K112" s="51">
        <f>4295848.34+2500</f>
        <v>4298348.34</v>
      </c>
      <c r="L112" s="51">
        <f t="shared" si="22"/>
        <v>4263198.34</v>
      </c>
      <c r="M112" s="54">
        <f t="shared" si="20"/>
        <v>-4.744725441638973</v>
      </c>
      <c r="N112" s="51">
        <f>K112-I112</f>
        <v>496513.29000000004</v>
      </c>
      <c r="O112" s="54">
        <f t="shared" si="14"/>
        <v>1.1305983251430123</v>
      </c>
      <c r="P112" s="51">
        <f t="shared" si="24"/>
        <v>3431566.0599999996</v>
      </c>
      <c r="Q112" s="74" t="s">
        <v>291</v>
      </c>
    </row>
    <row r="113" spans="1:17" s="32" customFormat="1" ht="30.75" customHeight="1" outlineLevel="1">
      <c r="A113" s="24" t="s">
        <v>205</v>
      </c>
      <c r="B113" s="48" t="s">
        <v>206</v>
      </c>
      <c r="C113" s="49" t="s">
        <v>207</v>
      </c>
      <c r="D113" s="50" t="s">
        <v>205</v>
      </c>
      <c r="E113" s="51">
        <f>E114+E115+E116+E117+E118+E119+E120</f>
        <v>7747287.5</v>
      </c>
      <c r="F113" s="51">
        <f>F114+F115+F116+F117+F118+F119+F120</f>
        <v>4829827.109999999</v>
      </c>
      <c r="G113" s="58">
        <f>G114+G115+G116+G117+G118+G119</f>
        <v>-2939602.9899999998</v>
      </c>
      <c r="H113" s="75">
        <f t="shared" si="21"/>
        <v>0.6234216956579963</v>
      </c>
      <c r="I113" s="51">
        <f>I114+I115+I116+I117+I118+I119+I120</f>
        <v>14004782.08</v>
      </c>
      <c r="J113" s="51">
        <f>J114+J115+J116+J117+J118+J119+J120</f>
        <v>918137.48</v>
      </c>
      <c r="K113" s="51">
        <f>K114+K115+K116+K117+K118+K119+K120</f>
        <v>11305475.98</v>
      </c>
      <c r="L113" s="51">
        <f>L114+L115+L116+L117+L118+L119+L120</f>
        <v>10387338.5</v>
      </c>
      <c r="M113" s="51" t="e">
        <f>M114+M115+M116+M117+M118+M119+M120</f>
        <v>#DIV/0!</v>
      </c>
      <c r="N113" s="51">
        <f>N114+N115+N116+N117+N118+N119+N120</f>
        <v>-2699306.0999999996</v>
      </c>
      <c r="O113" s="54">
        <f t="shared" si="14"/>
        <v>0.807258257602249</v>
      </c>
      <c r="P113" s="51">
        <f t="shared" si="24"/>
        <v>6475648.870000001</v>
      </c>
      <c r="Q113" s="56"/>
    </row>
    <row r="114" spans="1:17" s="4" customFormat="1" ht="72" customHeight="1" outlineLevel="1">
      <c r="A114" s="76"/>
      <c r="B114" s="77" t="s">
        <v>208</v>
      </c>
      <c r="C114" s="59" t="s">
        <v>209</v>
      </c>
      <c r="D114" s="60" t="s">
        <v>210</v>
      </c>
      <c r="E114" s="78">
        <v>0</v>
      </c>
      <c r="F114" s="78">
        <v>17538.6</v>
      </c>
      <c r="G114" s="62"/>
      <c r="H114" s="63"/>
      <c r="I114" s="79"/>
      <c r="J114" s="79"/>
      <c r="K114" s="79"/>
      <c r="L114" s="61">
        <f t="shared" si="22"/>
        <v>0</v>
      </c>
      <c r="M114" s="63"/>
      <c r="N114" s="61">
        <f aca="true" t="shared" si="26" ref="N114:N120">K114-I114</f>
        <v>0</v>
      </c>
      <c r="O114" s="63"/>
      <c r="P114" s="61">
        <f t="shared" si="24"/>
        <v>-17538.6</v>
      </c>
      <c r="Q114" s="80"/>
    </row>
    <row r="115" spans="1:17" ht="94.5" customHeight="1" outlineLevel="5">
      <c r="A115" s="64" t="s">
        <v>211</v>
      </c>
      <c r="B115" s="65" t="s">
        <v>212</v>
      </c>
      <c r="C115" s="59" t="s">
        <v>213</v>
      </c>
      <c r="D115" s="60" t="s">
        <v>211</v>
      </c>
      <c r="E115" s="61">
        <v>898909.4</v>
      </c>
      <c r="F115" s="61">
        <v>377013.6</v>
      </c>
      <c r="G115" s="62">
        <f t="shared" si="25"/>
        <v>-521895.80000000005</v>
      </c>
      <c r="H115" s="63">
        <f t="shared" si="21"/>
        <v>0.4194122344254048</v>
      </c>
      <c r="I115" s="61">
        <v>936864.56</v>
      </c>
      <c r="J115" s="61"/>
      <c r="K115" s="61">
        <v>605149.2</v>
      </c>
      <c r="L115" s="61">
        <f t="shared" si="22"/>
        <v>605149.2</v>
      </c>
      <c r="M115" s="63">
        <f>I115/G115</f>
        <v>-1.795118029307766</v>
      </c>
      <c r="N115" s="61">
        <f t="shared" si="26"/>
        <v>-331715.3600000001</v>
      </c>
      <c r="O115" s="63">
        <f t="shared" si="14"/>
        <v>0.6459302932752626</v>
      </c>
      <c r="P115" s="61">
        <f t="shared" si="24"/>
        <v>228135.59999999998</v>
      </c>
      <c r="Q115" s="66" t="s">
        <v>259</v>
      </c>
    </row>
    <row r="116" spans="1:17" ht="61.5" customHeight="1" outlineLevel="5">
      <c r="A116" s="64" t="s">
        <v>214</v>
      </c>
      <c r="B116" s="65" t="s">
        <v>215</v>
      </c>
      <c r="C116" s="59" t="s">
        <v>216</v>
      </c>
      <c r="D116" s="60" t="s">
        <v>214</v>
      </c>
      <c r="E116" s="61">
        <v>91219.38</v>
      </c>
      <c r="F116" s="61">
        <v>24567.12</v>
      </c>
      <c r="G116" s="62">
        <f t="shared" si="25"/>
        <v>-66652.26000000001</v>
      </c>
      <c r="H116" s="63">
        <f t="shared" si="21"/>
        <v>0.26931908548380834</v>
      </c>
      <c r="I116" s="61">
        <v>33077</v>
      </c>
      <c r="J116" s="61">
        <v>4255</v>
      </c>
      <c r="K116" s="61"/>
      <c r="L116" s="61">
        <f t="shared" si="22"/>
        <v>-4255</v>
      </c>
      <c r="M116" s="63">
        <f>I116/G116</f>
        <v>-0.4962622422705546</v>
      </c>
      <c r="N116" s="61">
        <f t="shared" si="26"/>
        <v>-33077</v>
      </c>
      <c r="O116" s="63">
        <f t="shared" si="14"/>
        <v>0</v>
      </c>
      <c r="P116" s="61">
        <f t="shared" si="24"/>
        <v>-24567.12</v>
      </c>
      <c r="Q116" s="66" t="s">
        <v>293</v>
      </c>
    </row>
    <row r="117" spans="1:17" ht="79.5" customHeight="1" outlineLevel="5">
      <c r="A117" s="64" t="s">
        <v>217</v>
      </c>
      <c r="B117" s="65" t="s">
        <v>218</v>
      </c>
      <c r="C117" s="59" t="s">
        <v>219</v>
      </c>
      <c r="D117" s="60" t="s">
        <v>217</v>
      </c>
      <c r="E117" s="61">
        <v>0</v>
      </c>
      <c r="F117" s="61"/>
      <c r="G117" s="62">
        <f t="shared" si="25"/>
        <v>0</v>
      </c>
      <c r="H117" s="63"/>
      <c r="I117" s="61">
        <v>6000000</v>
      </c>
      <c r="J117" s="61"/>
      <c r="K117" s="61">
        <v>6000000</v>
      </c>
      <c r="L117" s="61">
        <f t="shared" si="22"/>
        <v>6000000</v>
      </c>
      <c r="M117" s="63"/>
      <c r="N117" s="61">
        <f t="shared" si="26"/>
        <v>0</v>
      </c>
      <c r="O117" s="63"/>
      <c r="P117" s="61">
        <f t="shared" si="24"/>
        <v>6000000</v>
      </c>
      <c r="Q117" s="66"/>
    </row>
    <row r="118" spans="1:17" ht="45" customHeight="1" hidden="1" outlineLevel="5">
      <c r="A118" s="64" t="s">
        <v>220</v>
      </c>
      <c r="B118" s="65"/>
      <c r="C118" s="59" t="s">
        <v>221</v>
      </c>
      <c r="D118" s="60" t="s">
        <v>220</v>
      </c>
      <c r="E118" s="61"/>
      <c r="F118" s="61"/>
      <c r="G118" s="62">
        <f t="shared" si="25"/>
        <v>0</v>
      </c>
      <c r="H118" s="63" t="e">
        <f t="shared" si="21"/>
        <v>#DIV/0!</v>
      </c>
      <c r="I118" s="61"/>
      <c r="J118" s="61"/>
      <c r="K118" s="61"/>
      <c r="L118" s="61">
        <f t="shared" si="22"/>
        <v>0</v>
      </c>
      <c r="M118" s="63" t="e">
        <f aca="true" t="shared" si="27" ref="M118:M127">I118/G118</f>
        <v>#DIV/0!</v>
      </c>
      <c r="N118" s="61">
        <f t="shared" si="26"/>
        <v>0</v>
      </c>
      <c r="O118" s="63" t="e">
        <f t="shared" si="14"/>
        <v>#DIV/0!</v>
      </c>
      <c r="P118" s="61">
        <f t="shared" si="24"/>
        <v>0</v>
      </c>
      <c r="Q118" s="81" t="s">
        <v>222</v>
      </c>
    </row>
    <row r="119" spans="1:17" ht="117" customHeight="1" outlineLevel="5">
      <c r="A119" s="64" t="s">
        <v>223</v>
      </c>
      <c r="B119" s="82" t="s">
        <v>224</v>
      </c>
      <c r="C119" s="83" t="s">
        <v>225</v>
      </c>
      <c r="D119" s="84" t="s">
        <v>223</v>
      </c>
      <c r="E119" s="85">
        <v>5165454.72</v>
      </c>
      <c r="F119" s="85">
        <v>2814399.79</v>
      </c>
      <c r="G119" s="86">
        <f t="shared" si="25"/>
        <v>-2351054.9299999997</v>
      </c>
      <c r="H119" s="87">
        <f t="shared" si="21"/>
        <v>0.544850345721354</v>
      </c>
      <c r="I119" s="85">
        <f>4745840.52+1000000</f>
        <v>5745840.52</v>
      </c>
      <c r="J119" s="85">
        <v>913882.48</v>
      </c>
      <c r="K119" s="85">
        <v>3411326.78</v>
      </c>
      <c r="L119" s="85">
        <f t="shared" si="22"/>
        <v>2497444.3</v>
      </c>
      <c r="M119" s="87">
        <f t="shared" si="27"/>
        <v>-2.4439414182466592</v>
      </c>
      <c r="N119" s="85">
        <f t="shared" si="26"/>
        <v>-2334513.7399999998</v>
      </c>
      <c r="O119" s="87">
        <f t="shared" si="14"/>
        <v>0.59370370063804</v>
      </c>
      <c r="P119" s="85">
        <f t="shared" si="24"/>
        <v>596926.9899999998</v>
      </c>
      <c r="Q119" s="88" t="s">
        <v>287</v>
      </c>
    </row>
    <row r="120" spans="1:17" ht="47.25" customHeight="1" outlineLevel="5" thickBot="1">
      <c r="A120" s="64"/>
      <c r="B120" s="65" t="s">
        <v>226</v>
      </c>
      <c r="C120" s="89" t="s">
        <v>227</v>
      </c>
      <c r="D120" s="90"/>
      <c r="E120" s="91">
        <v>1591704</v>
      </c>
      <c r="F120" s="91">
        <v>1596308</v>
      </c>
      <c r="G120" s="92">
        <f t="shared" si="25"/>
        <v>4604</v>
      </c>
      <c r="H120" s="93">
        <f t="shared" si="21"/>
        <v>1.0028924976000564</v>
      </c>
      <c r="I120" s="91">
        <v>1289000</v>
      </c>
      <c r="J120" s="91"/>
      <c r="K120" s="91">
        <v>1289000</v>
      </c>
      <c r="L120" s="85">
        <f t="shared" si="22"/>
        <v>1289000</v>
      </c>
      <c r="M120" s="93">
        <f t="shared" si="27"/>
        <v>279.9739357080799</v>
      </c>
      <c r="N120" s="85">
        <f t="shared" si="26"/>
        <v>0</v>
      </c>
      <c r="O120" s="93"/>
      <c r="P120" s="85">
        <f t="shared" si="24"/>
        <v>-307308</v>
      </c>
      <c r="Q120" s="94" t="s">
        <v>269</v>
      </c>
    </row>
    <row r="121" spans="1:17" s="16" customFormat="1" ht="31.5" customHeight="1" thickBot="1">
      <c r="A121" s="9" t="s">
        <v>228</v>
      </c>
      <c r="B121" s="10" t="s">
        <v>226</v>
      </c>
      <c r="C121" s="95" t="s">
        <v>229</v>
      </c>
      <c r="D121" s="96" t="s">
        <v>228</v>
      </c>
      <c r="E121" s="99">
        <f>E122+E126+E127+E128+E129+E130</f>
        <v>3087425772.07</v>
      </c>
      <c r="F121" s="99">
        <f>F122+F126+F127+F128+F129+F130</f>
        <v>1287645161.31</v>
      </c>
      <c r="G121" s="97">
        <f t="shared" si="25"/>
        <v>-1799780610.7600002</v>
      </c>
      <c r="H121" s="98">
        <f t="shared" si="21"/>
        <v>0.41706109113894047</v>
      </c>
      <c r="I121" s="99">
        <f>I122+I126+I127+I128+I129+I130</f>
        <v>2528933340.61</v>
      </c>
      <c r="J121" s="100" t="s">
        <v>230</v>
      </c>
      <c r="K121" s="99">
        <f>K122+K126+K127+K128+K129+K130</f>
        <v>991861254.19</v>
      </c>
      <c r="L121" s="100" t="s">
        <v>230</v>
      </c>
      <c r="M121" s="98">
        <f t="shared" si="27"/>
        <v>-1.4051342288558704</v>
      </c>
      <c r="N121" s="99">
        <f>N122+N126+N127+N130</f>
        <v>-1468517783.9900002</v>
      </c>
      <c r="O121" s="98">
        <f t="shared" si="14"/>
        <v>0.39220537697160285</v>
      </c>
      <c r="P121" s="99">
        <f t="shared" si="24"/>
        <v>-295783907.1199999</v>
      </c>
      <c r="Q121" s="101"/>
    </row>
    <row r="122" spans="1:17" ht="39.75" customHeight="1" outlineLevel="2">
      <c r="A122" s="64" t="s">
        <v>231</v>
      </c>
      <c r="B122" s="65" t="s">
        <v>232</v>
      </c>
      <c r="C122" s="102" t="s">
        <v>233</v>
      </c>
      <c r="D122" s="103" t="s">
        <v>231</v>
      </c>
      <c r="E122" s="104">
        <v>473098326.55</v>
      </c>
      <c r="F122" s="104">
        <v>219823028.77</v>
      </c>
      <c r="G122" s="105">
        <f t="shared" si="25"/>
        <v>-253275297.78</v>
      </c>
      <c r="H122" s="106">
        <f t="shared" si="21"/>
        <v>0.4646455428684923</v>
      </c>
      <c r="I122" s="104">
        <v>497698288.62</v>
      </c>
      <c r="J122" s="107" t="s">
        <v>230</v>
      </c>
      <c r="K122" s="104">
        <v>248849146.62</v>
      </c>
      <c r="L122" s="107" t="s">
        <v>230</v>
      </c>
      <c r="M122" s="106">
        <f t="shared" si="27"/>
        <v>-1.9650486762128327</v>
      </c>
      <c r="N122" s="85">
        <f aca="true" t="shared" si="28" ref="N122:N129">K122-I122</f>
        <v>-248849142</v>
      </c>
      <c r="O122" s="106">
        <f t="shared" si="14"/>
        <v>0.5000000046413662</v>
      </c>
      <c r="P122" s="104">
        <f t="shared" si="24"/>
        <v>29026117.849999994</v>
      </c>
      <c r="Q122" s="108"/>
    </row>
    <row r="123" spans="1:17" ht="42.75" customHeight="1" hidden="1" outlineLevel="3">
      <c r="A123" s="64" t="s">
        <v>234</v>
      </c>
      <c r="B123" s="65"/>
      <c r="C123" s="59" t="s">
        <v>235</v>
      </c>
      <c r="D123" s="60" t="s">
        <v>234</v>
      </c>
      <c r="E123" s="61"/>
      <c r="F123" s="61"/>
      <c r="G123" s="105">
        <f t="shared" si="25"/>
        <v>0</v>
      </c>
      <c r="H123" s="106" t="e">
        <f t="shared" si="21"/>
        <v>#DIV/0!</v>
      </c>
      <c r="I123" s="61"/>
      <c r="J123" s="61"/>
      <c r="K123" s="61"/>
      <c r="L123" s="61"/>
      <c r="M123" s="106" t="e">
        <f t="shared" si="27"/>
        <v>#DIV/0!</v>
      </c>
      <c r="N123" s="85">
        <f t="shared" si="28"/>
        <v>0</v>
      </c>
      <c r="O123" s="106" t="e">
        <f t="shared" si="14"/>
        <v>#DIV/0!</v>
      </c>
      <c r="P123" s="104">
        <f t="shared" si="24"/>
        <v>0</v>
      </c>
      <c r="Q123" s="109"/>
    </row>
    <row r="124" spans="1:17" ht="71.25" customHeight="1" hidden="1" outlineLevel="4">
      <c r="A124" s="64" t="s">
        <v>236</v>
      </c>
      <c r="B124" s="65"/>
      <c r="C124" s="59" t="s">
        <v>237</v>
      </c>
      <c r="D124" s="60" t="s">
        <v>236</v>
      </c>
      <c r="E124" s="61"/>
      <c r="F124" s="61"/>
      <c r="G124" s="105">
        <f t="shared" si="25"/>
        <v>0</v>
      </c>
      <c r="H124" s="106" t="e">
        <f t="shared" si="21"/>
        <v>#DIV/0!</v>
      </c>
      <c r="I124" s="61"/>
      <c r="J124" s="61"/>
      <c r="K124" s="61"/>
      <c r="L124" s="61"/>
      <c r="M124" s="106" t="e">
        <f t="shared" si="27"/>
        <v>#DIV/0!</v>
      </c>
      <c r="N124" s="85">
        <f t="shared" si="28"/>
        <v>0</v>
      </c>
      <c r="O124" s="106" t="e">
        <f t="shared" si="14"/>
        <v>#DIV/0!</v>
      </c>
      <c r="P124" s="104">
        <f t="shared" si="24"/>
        <v>0</v>
      </c>
      <c r="Q124" s="109"/>
    </row>
    <row r="125" spans="1:17" ht="71.25" customHeight="1" hidden="1" outlineLevel="5">
      <c r="A125" s="64" t="s">
        <v>236</v>
      </c>
      <c r="B125" s="65"/>
      <c r="C125" s="59" t="s">
        <v>238</v>
      </c>
      <c r="D125" s="60" t="s">
        <v>236</v>
      </c>
      <c r="E125" s="61"/>
      <c r="F125" s="61"/>
      <c r="G125" s="105">
        <f t="shared" si="25"/>
        <v>0</v>
      </c>
      <c r="H125" s="106" t="e">
        <f t="shared" si="21"/>
        <v>#DIV/0!</v>
      </c>
      <c r="I125" s="61"/>
      <c r="J125" s="61"/>
      <c r="K125" s="61"/>
      <c r="L125" s="61"/>
      <c r="M125" s="106" t="e">
        <f t="shared" si="27"/>
        <v>#DIV/0!</v>
      </c>
      <c r="N125" s="85">
        <f t="shared" si="28"/>
        <v>0</v>
      </c>
      <c r="O125" s="106" t="e">
        <f t="shared" si="14"/>
        <v>#DIV/0!</v>
      </c>
      <c r="P125" s="104">
        <f t="shared" si="24"/>
        <v>0</v>
      </c>
      <c r="Q125" s="109"/>
    </row>
    <row r="126" spans="1:17" ht="21" customHeight="1" outlineLevel="2" collapsed="1">
      <c r="A126" s="64" t="s">
        <v>239</v>
      </c>
      <c r="B126" s="65" t="s">
        <v>240</v>
      </c>
      <c r="C126" s="59" t="s">
        <v>241</v>
      </c>
      <c r="D126" s="60" t="s">
        <v>242</v>
      </c>
      <c r="E126" s="110">
        <v>1985905932.37</v>
      </c>
      <c r="F126" s="110">
        <v>771611270.81</v>
      </c>
      <c r="G126" s="105">
        <f t="shared" si="25"/>
        <v>-1214294661.56</v>
      </c>
      <c r="H126" s="106">
        <f t="shared" si="21"/>
        <v>0.38854371611104027</v>
      </c>
      <c r="I126" s="61">
        <v>1359152528.19</v>
      </c>
      <c r="J126" s="107" t="s">
        <v>230</v>
      </c>
      <c r="K126" s="110">
        <v>392075817.57</v>
      </c>
      <c r="L126" s="107" t="s">
        <v>230</v>
      </c>
      <c r="M126" s="106">
        <f t="shared" si="27"/>
        <v>-1.1192938346973391</v>
      </c>
      <c r="N126" s="85">
        <f t="shared" si="28"/>
        <v>-967076710.6200001</v>
      </c>
      <c r="O126" s="106">
        <f t="shared" si="14"/>
        <v>0.28847080032447286</v>
      </c>
      <c r="P126" s="104">
        <f t="shared" si="24"/>
        <v>-379535453.23999995</v>
      </c>
      <c r="Q126" s="109"/>
    </row>
    <row r="127" spans="1:17" ht="22.5" customHeight="1" outlineLevel="5">
      <c r="A127" s="64" t="s">
        <v>243</v>
      </c>
      <c r="B127" s="65" t="s">
        <v>244</v>
      </c>
      <c r="C127" s="59" t="s">
        <v>245</v>
      </c>
      <c r="D127" s="60" t="s">
        <v>246</v>
      </c>
      <c r="E127" s="61">
        <v>520683169.05</v>
      </c>
      <c r="F127" s="61">
        <v>279962883.49</v>
      </c>
      <c r="G127" s="105">
        <f t="shared" si="25"/>
        <v>-240720285.56</v>
      </c>
      <c r="H127" s="106">
        <f t="shared" si="21"/>
        <v>0.5376837588217026</v>
      </c>
      <c r="I127" s="61">
        <v>569411761.15</v>
      </c>
      <c r="J127" s="107" t="s">
        <v>230</v>
      </c>
      <c r="K127" s="61">
        <v>316819829.78</v>
      </c>
      <c r="L127" s="107" t="s">
        <v>230</v>
      </c>
      <c r="M127" s="106">
        <f t="shared" si="27"/>
        <v>-2.365449840778263</v>
      </c>
      <c r="N127" s="85">
        <f t="shared" si="28"/>
        <v>-252591931.37</v>
      </c>
      <c r="O127" s="106">
        <f t="shared" si="14"/>
        <v>0.5563984648651122</v>
      </c>
      <c r="P127" s="104">
        <f t="shared" si="24"/>
        <v>36856946.28999996</v>
      </c>
      <c r="Q127" s="109"/>
    </row>
    <row r="128" spans="1:17" ht="22.5" customHeight="1" outlineLevel="5">
      <c r="A128" s="64"/>
      <c r="B128" s="65" t="s">
        <v>247</v>
      </c>
      <c r="C128" s="59" t="s">
        <v>248</v>
      </c>
      <c r="D128" s="60"/>
      <c r="E128" s="61">
        <v>110208359.34</v>
      </c>
      <c r="F128" s="61">
        <v>16127780</v>
      </c>
      <c r="G128" s="105">
        <f t="shared" si="25"/>
        <v>-94080579.34</v>
      </c>
      <c r="H128" s="106">
        <f t="shared" si="21"/>
        <v>0.14633899004198714</v>
      </c>
      <c r="I128" s="61">
        <v>119974047.4</v>
      </c>
      <c r="J128" s="107" t="s">
        <v>230</v>
      </c>
      <c r="K128" s="61">
        <v>51419744.97</v>
      </c>
      <c r="L128" s="107" t="s">
        <v>230</v>
      </c>
      <c r="M128" s="106"/>
      <c r="N128" s="85">
        <f t="shared" si="28"/>
        <v>-68554302.43</v>
      </c>
      <c r="O128" s="106"/>
      <c r="P128" s="104">
        <f t="shared" si="24"/>
        <v>35291964.97</v>
      </c>
      <c r="Q128" s="109"/>
    </row>
    <row r="129" spans="1:17" ht="54" customHeight="1" outlineLevel="5">
      <c r="A129" s="64"/>
      <c r="B129" s="65" t="s">
        <v>249</v>
      </c>
      <c r="C129" s="59" t="s">
        <v>250</v>
      </c>
      <c r="D129" s="60"/>
      <c r="E129" s="85">
        <v>1669917.56</v>
      </c>
      <c r="F129" s="85">
        <v>413533.16</v>
      </c>
      <c r="G129" s="105"/>
      <c r="H129" s="106"/>
      <c r="I129" s="61">
        <v>936811.59</v>
      </c>
      <c r="J129" s="107" t="s">
        <v>230</v>
      </c>
      <c r="K129" s="85">
        <v>936811.59</v>
      </c>
      <c r="L129" s="107" t="s">
        <v>230</v>
      </c>
      <c r="M129" s="106"/>
      <c r="N129" s="85">
        <f t="shared" si="28"/>
        <v>0</v>
      </c>
      <c r="O129" s="106"/>
      <c r="P129" s="104">
        <f t="shared" si="24"/>
        <v>523278.43</v>
      </c>
      <c r="Q129" s="109"/>
    </row>
    <row r="130" spans="1:17" ht="40.5" customHeight="1" outlineLevel="1">
      <c r="A130" s="64" t="s">
        <v>251</v>
      </c>
      <c r="B130" s="65" t="s">
        <v>252</v>
      </c>
      <c r="C130" s="59" t="s">
        <v>253</v>
      </c>
      <c r="D130" s="60" t="s">
        <v>251</v>
      </c>
      <c r="E130" s="85">
        <v>-4139932.8</v>
      </c>
      <c r="F130" s="85">
        <v>-293334.92</v>
      </c>
      <c r="G130" s="105">
        <f t="shared" si="25"/>
        <v>3846597.88</v>
      </c>
      <c r="H130" s="106">
        <f t="shared" si="21"/>
        <v>0.07085499552070024</v>
      </c>
      <c r="I130" s="61">
        <v>-18240096.34</v>
      </c>
      <c r="J130" s="107" t="s">
        <v>230</v>
      </c>
      <c r="K130" s="85">
        <v>-18240096.34</v>
      </c>
      <c r="L130" s="107" t="s">
        <v>230</v>
      </c>
      <c r="M130" s="63"/>
      <c r="N130" s="85">
        <f>K130-I130</f>
        <v>0</v>
      </c>
      <c r="O130" s="63"/>
      <c r="P130" s="104">
        <f t="shared" si="24"/>
        <v>-17946761.419999998</v>
      </c>
      <c r="Q130" s="109"/>
    </row>
    <row r="131" spans="1:17" s="118" customFormat="1" ht="23.25" customHeight="1">
      <c r="A131" s="506" t="s">
        <v>254</v>
      </c>
      <c r="B131" s="507"/>
      <c r="C131" s="508"/>
      <c r="D131" s="509"/>
      <c r="E131" s="115">
        <f>E121+E11</f>
        <v>3513539007.31</v>
      </c>
      <c r="F131" s="115">
        <f>F121+F11</f>
        <v>1462692067.3899999</v>
      </c>
      <c r="G131" s="111">
        <f>F131-E131</f>
        <v>-2050846939.92</v>
      </c>
      <c r="H131" s="112">
        <f>F131/E131</f>
        <v>0.4163016446798612</v>
      </c>
      <c r="I131" s="113">
        <f>I121+I11</f>
        <v>2978703740.33</v>
      </c>
      <c r="J131" s="114" t="s">
        <v>230</v>
      </c>
      <c r="K131" s="115">
        <f>K121+K11</f>
        <v>1201274860.46</v>
      </c>
      <c r="L131" s="114" t="s">
        <v>230</v>
      </c>
      <c r="M131" s="112">
        <f>I131/G131</f>
        <v>-1.4524261573836388</v>
      </c>
      <c r="N131" s="115">
        <f>N121+N11</f>
        <v>-1708874577.4400003</v>
      </c>
      <c r="O131" s="112">
        <f>K131/I131</f>
        <v>0.4032877940143571</v>
      </c>
      <c r="P131" s="116">
        <f>K131-F131</f>
        <v>-261417206.92999983</v>
      </c>
      <c r="Q131" s="117"/>
    </row>
    <row r="132" spans="1:17" s="129" customFormat="1" ht="24.75" customHeight="1">
      <c r="A132" s="119"/>
      <c r="B132" s="120">
        <v>46</v>
      </c>
      <c r="C132" s="121" t="s">
        <v>255</v>
      </c>
      <c r="D132" s="122"/>
      <c r="E132" s="123">
        <v>39027</v>
      </c>
      <c r="F132" s="123">
        <v>82492.41</v>
      </c>
      <c r="G132" s="124"/>
      <c r="H132" s="125"/>
      <c r="I132" s="126"/>
      <c r="J132" s="126"/>
      <c r="K132" s="123">
        <v>-39027</v>
      </c>
      <c r="L132" s="126"/>
      <c r="M132" s="125"/>
      <c r="N132" s="123"/>
      <c r="O132" s="125"/>
      <c r="P132" s="127"/>
      <c r="Q132" s="128"/>
    </row>
    <row r="133" spans="1:17" s="118" customFormat="1" ht="26.25" customHeight="1" thickBot="1">
      <c r="A133" s="130"/>
      <c r="B133" s="131"/>
      <c r="C133" s="131"/>
      <c r="D133" s="131"/>
      <c r="E133" s="136">
        <f>E131++E132</f>
        <v>3513578034.31</v>
      </c>
      <c r="F133" s="136">
        <f>F131++F132</f>
        <v>1462774559.8</v>
      </c>
      <c r="G133" s="132">
        <f>F133-E133</f>
        <v>-2050803474.51</v>
      </c>
      <c r="H133" s="133">
        <f>F133/E133</f>
        <v>0.4163204987952576</v>
      </c>
      <c r="I133" s="134">
        <f>I131++I132</f>
        <v>2978703740.33</v>
      </c>
      <c r="J133" s="135" t="s">
        <v>230</v>
      </c>
      <c r="K133" s="136">
        <f>K131++K132</f>
        <v>1201235833.46</v>
      </c>
      <c r="L133" s="137" t="s">
        <v>230</v>
      </c>
      <c r="M133" s="133">
        <f>I133/G133</f>
        <v>-1.4524569405860324</v>
      </c>
      <c r="N133" s="136">
        <f>N131++N132</f>
        <v>-1708874577.4400003</v>
      </c>
      <c r="O133" s="133">
        <f>K133/I133</f>
        <v>0.4032746920064361</v>
      </c>
      <c r="P133" s="132">
        <f>K133-F133</f>
        <v>-261538726.3399999</v>
      </c>
      <c r="Q133" s="138"/>
    </row>
    <row r="134" ht="15">
      <c r="E134" s="139"/>
    </row>
    <row r="137" ht="15">
      <c r="E137" s="139"/>
    </row>
  </sheetData>
  <sheetProtection/>
  <mergeCells count="26">
    <mergeCell ref="A131:D131"/>
    <mergeCell ref="Q7:Q9"/>
    <mergeCell ref="A8:A9"/>
    <mergeCell ref="E8:E9"/>
    <mergeCell ref="F8:F9"/>
    <mergeCell ref="G8:G9"/>
    <mergeCell ref="H8:H9"/>
    <mergeCell ref="I8:I9"/>
    <mergeCell ref="J8:J9"/>
    <mergeCell ref="K8:K9"/>
    <mergeCell ref="L8:L9"/>
    <mergeCell ref="B7:B9"/>
    <mergeCell ref="C7:C9"/>
    <mergeCell ref="D7:D9"/>
    <mergeCell ref="E7:H7"/>
    <mergeCell ref="I7:O7"/>
    <mergeCell ref="P7:P9"/>
    <mergeCell ref="M8:M9"/>
    <mergeCell ref="N8:N9"/>
    <mergeCell ref="O8:O9"/>
    <mergeCell ref="A1:D1"/>
    <mergeCell ref="A2:D2"/>
    <mergeCell ref="A3:E3"/>
    <mergeCell ref="A4:Q4"/>
    <mergeCell ref="A5:D5"/>
    <mergeCell ref="A6:Q6"/>
  </mergeCells>
  <printOptions horizontalCentered="1"/>
  <pageMargins left="0" right="0" top="0.1968503937007874" bottom="0" header="0.3937007874015748" footer="0.3937007874015748"/>
  <pageSetup blackAndWhite="1" errors="blank" fitToHeight="0" fitToWidth="1" horizontalDpi="600" verticalDpi="600" orientation="landscape" paperSize="9" scale="56" r:id="rId1"/>
  <rowBreaks count="1" manualBreakCount="1">
    <brk id="111" max="16" man="1"/>
  </rowBreaks>
</worksheet>
</file>

<file path=xl/worksheets/sheet9.xml><?xml version="1.0" encoding="utf-8"?>
<worksheet xmlns="http://schemas.openxmlformats.org/spreadsheetml/2006/main" xmlns:r="http://schemas.openxmlformats.org/officeDocument/2006/relationships">
  <sheetPr>
    <tabColor theme="0" tint="-0.04997999966144562"/>
    <pageSetUpPr fitToPage="1"/>
  </sheetPr>
  <dimension ref="A1:Q137"/>
  <sheetViews>
    <sheetView showGridLines="0" showZeros="0" view="pageBreakPreview" zoomScale="85" zoomScaleNormal="75" zoomScaleSheetLayoutView="85" zoomScalePageLayoutView="0" workbookViewId="0" topLeftCell="B1">
      <pane ySplit="9" topLeftCell="A10" activePane="bottomLeft" state="frozen"/>
      <selection pane="topLeft" activeCell="A1" sqref="A1"/>
      <selection pane="bottomLeft" activeCell="K80" sqref="K80"/>
    </sheetView>
  </sheetViews>
  <sheetFormatPr defaultColWidth="9.140625" defaultRowHeight="15" outlineLevelRow="5"/>
  <cols>
    <col min="1" max="1" width="9.140625" style="163" hidden="1" customWidth="1"/>
    <col min="2" max="2" width="5.28125" style="163" customWidth="1"/>
    <col min="3" max="3" width="79.8515625" style="164" customWidth="1"/>
    <col min="4" max="4" width="18.00390625" style="163" hidden="1" customWidth="1"/>
    <col min="5" max="5" width="21.421875" style="163" hidden="1" customWidth="1"/>
    <col min="6" max="6" width="35.7109375" style="163" customWidth="1"/>
    <col min="7" max="7" width="20.57421875" style="163" hidden="1" customWidth="1"/>
    <col min="8" max="8" width="10.28125" style="163" hidden="1" customWidth="1"/>
    <col min="9" max="9" width="20.28125" style="163" hidden="1" customWidth="1"/>
    <col min="10" max="10" width="17.57421875" style="163" hidden="1" customWidth="1"/>
    <col min="11" max="11" width="34.00390625" style="163" customWidth="1"/>
    <col min="12" max="12" width="19.140625" style="163" hidden="1" customWidth="1"/>
    <col min="13" max="13" width="14.28125" style="163" hidden="1" customWidth="1"/>
    <col min="14" max="14" width="21.140625" style="163" hidden="1" customWidth="1"/>
    <col min="15" max="15" width="13.8515625" style="163" hidden="1" customWidth="1"/>
    <col min="16" max="16" width="32.421875" style="163" customWidth="1"/>
    <col min="17" max="17" width="50.28125" style="164" hidden="1" customWidth="1"/>
    <col min="18" max="16384" width="9.140625" style="163" customWidth="1"/>
  </cols>
  <sheetData>
    <row r="1" spans="1:4" ht="13.5" customHeight="1">
      <c r="A1" s="543"/>
      <c r="B1" s="543"/>
      <c r="C1" s="544"/>
      <c r="D1" s="544"/>
    </row>
    <row r="2" spans="1:4" ht="45" customHeight="1" hidden="1">
      <c r="A2" s="543"/>
      <c r="B2" s="543"/>
      <c r="C2" s="544"/>
      <c r="D2" s="544"/>
    </row>
    <row r="3" spans="1:5" ht="18" customHeight="1">
      <c r="A3" s="545" t="s">
        <v>275</v>
      </c>
      <c r="B3" s="545"/>
      <c r="C3" s="545"/>
      <c r="D3" s="545"/>
      <c r="E3" s="545"/>
    </row>
    <row r="4" spans="1:17" ht="42" customHeight="1">
      <c r="A4" s="546" t="s">
        <v>288</v>
      </c>
      <c r="B4" s="546"/>
      <c r="C4" s="546"/>
      <c r="D4" s="546"/>
      <c r="E4" s="546"/>
      <c r="F4" s="546"/>
      <c r="G4" s="546"/>
      <c r="H4" s="546"/>
      <c r="I4" s="546"/>
      <c r="J4" s="546"/>
      <c r="K4" s="546"/>
      <c r="L4" s="546"/>
      <c r="M4" s="546"/>
      <c r="N4" s="546"/>
      <c r="O4" s="546"/>
      <c r="P4" s="546"/>
      <c r="Q4" s="546"/>
    </row>
    <row r="5" spans="1:4" ht="0.75" customHeight="1">
      <c r="A5" s="547"/>
      <c r="B5" s="547"/>
      <c r="C5" s="548"/>
      <c r="D5" s="548"/>
    </row>
    <row r="6" spans="1:17" ht="36" customHeight="1" thickBot="1">
      <c r="A6" s="542" t="s">
        <v>285</v>
      </c>
      <c r="B6" s="542"/>
      <c r="C6" s="542"/>
      <c r="D6" s="542"/>
      <c r="E6" s="542"/>
      <c r="F6" s="542"/>
      <c r="G6" s="542"/>
      <c r="H6" s="542"/>
      <c r="I6" s="542"/>
      <c r="J6" s="542"/>
      <c r="K6" s="542"/>
      <c r="L6" s="542"/>
      <c r="M6" s="542"/>
      <c r="N6" s="542"/>
      <c r="O6" s="542"/>
      <c r="P6" s="542"/>
      <c r="Q6" s="542"/>
    </row>
    <row r="7" spans="1:17" s="166" customFormat="1" ht="24" customHeight="1">
      <c r="A7" s="165"/>
      <c r="B7" s="557"/>
      <c r="C7" s="559" t="s">
        <v>2</v>
      </c>
      <c r="D7" s="561" t="s">
        <v>3</v>
      </c>
      <c r="E7" s="564">
        <v>44713</v>
      </c>
      <c r="F7" s="565"/>
      <c r="G7" s="565"/>
      <c r="H7" s="566"/>
      <c r="I7" s="564">
        <v>45078</v>
      </c>
      <c r="J7" s="565"/>
      <c r="K7" s="565"/>
      <c r="L7" s="565"/>
      <c r="M7" s="565"/>
      <c r="N7" s="565"/>
      <c r="O7" s="566"/>
      <c r="P7" s="573" t="s">
        <v>284</v>
      </c>
      <c r="Q7" s="549" t="s">
        <v>4</v>
      </c>
    </row>
    <row r="8" spans="1:17" s="166" customFormat="1" ht="17.25" customHeight="1">
      <c r="A8" s="551" t="s">
        <v>5</v>
      </c>
      <c r="B8" s="558"/>
      <c r="C8" s="560"/>
      <c r="D8" s="562"/>
      <c r="E8" s="567"/>
      <c r="F8" s="568"/>
      <c r="G8" s="568"/>
      <c r="H8" s="569"/>
      <c r="I8" s="567"/>
      <c r="J8" s="568"/>
      <c r="K8" s="568"/>
      <c r="L8" s="568"/>
      <c r="M8" s="568"/>
      <c r="N8" s="568"/>
      <c r="O8" s="569"/>
      <c r="P8" s="574"/>
      <c r="Q8" s="550"/>
    </row>
    <row r="9" spans="1:17" s="166" customFormat="1" ht="22.5" customHeight="1">
      <c r="A9" s="552"/>
      <c r="B9" s="558"/>
      <c r="C9" s="560"/>
      <c r="D9" s="563"/>
      <c r="E9" s="570"/>
      <c r="F9" s="571"/>
      <c r="G9" s="571"/>
      <c r="H9" s="572"/>
      <c r="I9" s="570"/>
      <c r="J9" s="571"/>
      <c r="K9" s="571"/>
      <c r="L9" s="571"/>
      <c r="M9" s="571"/>
      <c r="N9" s="571"/>
      <c r="O9" s="572"/>
      <c r="P9" s="574"/>
      <c r="Q9" s="550"/>
    </row>
    <row r="10" spans="1:17" ht="21" customHeight="1" thickBot="1">
      <c r="A10" s="209"/>
      <c r="B10" s="265"/>
      <c r="C10" s="266">
        <v>1</v>
      </c>
      <c r="D10" s="267">
        <v>2</v>
      </c>
      <c r="E10" s="267">
        <v>9</v>
      </c>
      <c r="F10" s="267">
        <v>2</v>
      </c>
      <c r="G10" s="267">
        <v>5</v>
      </c>
      <c r="H10" s="267">
        <v>6</v>
      </c>
      <c r="I10" s="267">
        <v>7</v>
      </c>
      <c r="J10" s="267">
        <v>8</v>
      </c>
      <c r="K10" s="267">
        <v>3</v>
      </c>
      <c r="L10" s="267">
        <v>10</v>
      </c>
      <c r="M10" s="267">
        <v>11</v>
      </c>
      <c r="N10" s="267">
        <v>12</v>
      </c>
      <c r="O10" s="267">
        <v>13</v>
      </c>
      <c r="P10" s="268">
        <v>4</v>
      </c>
      <c r="Q10" s="210">
        <v>15</v>
      </c>
    </row>
    <row r="11" spans="1:17" s="160" customFormat="1" ht="42.75" customHeight="1" thickBot="1">
      <c r="A11" s="159" t="s">
        <v>14</v>
      </c>
      <c r="B11" s="299" t="s">
        <v>15</v>
      </c>
      <c r="C11" s="300" t="s">
        <v>277</v>
      </c>
      <c r="D11" s="161" t="s">
        <v>14</v>
      </c>
      <c r="E11" s="162">
        <f>E12+E80</f>
        <v>426113235.23999995</v>
      </c>
      <c r="F11" s="245">
        <f>F12+F80</f>
        <v>148.1</v>
      </c>
      <c r="G11" s="245">
        <f>F11-E11</f>
        <v>-426113087.1399999</v>
      </c>
      <c r="H11" s="246">
        <f>F11/E11</f>
        <v>3.475601970367937E-07</v>
      </c>
      <c r="I11" s="245">
        <f>I12+I80</f>
        <v>381994751.74</v>
      </c>
      <c r="J11" s="245">
        <f>J12+J80</f>
        <v>16636685.38</v>
      </c>
      <c r="K11" s="245">
        <f>K12+K80</f>
        <v>154.2</v>
      </c>
      <c r="L11" s="245">
        <f>K11-J11</f>
        <v>-16636531.180000002</v>
      </c>
      <c r="M11" s="246">
        <f>K11/J11</f>
        <v>9.26867320490255E-06</v>
      </c>
      <c r="N11" s="245">
        <f>K11-I11</f>
        <v>-381994597.54</v>
      </c>
      <c r="O11" s="246">
        <f>K11/I11</f>
        <v>4.036704674543652E-07</v>
      </c>
      <c r="P11" s="247">
        <f>K11-F11</f>
        <v>6.099999999999994</v>
      </c>
      <c r="Q11" s="239"/>
    </row>
    <row r="12" spans="1:17" s="238" customFormat="1" ht="45" customHeight="1" thickBot="1">
      <c r="A12" s="237"/>
      <c r="B12" s="301" t="s">
        <v>17</v>
      </c>
      <c r="C12" s="302" t="s">
        <v>278</v>
      </c>
      <c r="D12" s="243"/>
      <c r="E12" s="244">
        <f>E13+E39+E40+E62+E66+E76</f>
        <v>352618682.34999996</v>
      </c>
      <c r="F12" s="273">
        <v>121.7</v>
      </c>
      <c r="G12" s="273">
        <f>F12-E12</f>
        <v>-352618560.65</v>
      </c>
      <c r="H12" s="274">
        <f>F12/E12</f>
        <v>3.4513202530546523E-07</v>
      </c>
      <c r="I12" s="273">
        <f>I13+I39+I40+I62+I66+I76</f>
        <v>320644567.63</v>
      </c>
      <c r="J12" s="273">
        <f>J13+J39+J40+J62+J66+J76</f>
        <v>14406368.9</v>
      </c>
      <c r="K12" s="273">
        <v>107.3</v>
      </c>
      <c r="L12" s="273">
        <f>K12-J12</f>
        <v>-14406261.6</v>
      </c>
      <c r="M12" s="274">
        <f>I12/G12</f>
        <v>-0.9093241349489356</v>
      </c>
      <c r="N12" s="273">
        <f>K12-I12</f>
        <v>-320644460.33</v>
      </c>
      <c r="O12" s="274">
        <f>K12/I12</f>
        <v>3.346384465300414E-07</v>
      </c>
      <c r="P12" s="275">
        <f>K12-F12</f>
        <v>-14.400000000000006</v>
      </c>
      <c r="Q12" s="240"/>
    </row>
    <row r="13" spans="1:17" ht="42.75" customHeight="1" outlineLevel="2">
      <c r="A13" s="172" t="s">
        <v>19</v>
      </c>
      <c r="B13" s="319" t="s">
        <v>20</v>
      </c>
      <c r="C13" s="303" t="s">
        <v>21</v>
      </c>
      <c r="D13" s="241" t="s">
        <v>19</v>
      </c>
      <c r="E13" s="242">
        <v>190630093.23</v>
      </c>
      <c r="F13" s="276">
        <v>61.4</v>
      </c>
      <c r="G13" s="277">
        <f>F13-E13</f>
        <v>-190630031.82999998</v>
      </c>
      <c r="H13" s="278">
        <f>F13/E13</f>
        <v>3.220897548736933E-07</v>
      </c>
      <c r="I13" s="279">
        <v>179717500</v>
      </c>
      <c r="J13" s="280">
        <v>8290000</v>
      </c>
      <c r="K13" s="276">
        <v>60.3</v>
      </c>
      <c r="L13" s="279">
        <f>K13-J13</f>
        <v>-8289939.7</v>
      </c>
      <c r="M13" s="278">
        <f>K13/J13</f>
        <v>7.273823884197828E-06</v>
      </c>
      <c r="N13" s="279">
        <f>K13-I13</f>
        <v>-179717439.7</v>
      </c>
      <c r="O13" s="278">
        <f aca="true" t="shared" si="0" ref="O13:O78">K13/I13</f>
        <v>3.3552659034317747E-07</v>
      </c>
      <c r="P13" s="320">
        <f>K13-F13</f>
        <v>-1.1000000000000014</v>
      </c>
      <c r="Q13" s="309" t="s">
        <v>266</v>
      </c>
    </row>
    <row r="14" spans="1:17" ht="6.75" customHeight="1" hidden="1" outlineLevel="2">
      <c r="A14" s="172"/>
      <c r="B14" s="321"/>
      <c r="C14" s="304"/>
      <c r="D14" s="212"/>
      <c r="E14" s="193"/>
      <c r="F14" s="281"/>
      <c r="G14" s="282"/>
      <c r="H14" s="283"/>
      <c r="I14" s="284"/>
      <c r="J14" s="285"/>
      <c r="K14" s="285"/>
      <c r="L14" s="284"/>
      <c r="M14" s="283"/>
      <c r="N14" s="284"/>
      <c r="O14" s="283"/>
      <c r="P14" s="322"/>
      <c r="Q14" s="310"/>
    </row>
    <row r="15" spans="1:17" ht="45" customHeight="1" hidden="1" outlineLevel="3">
      <c r="A15" s="172" t="s">
        <v>22</v>
      </c>
      <c r="B15" s="321"/>
      <c r="C15" s="305" t="s">
        <v>23</v>
      </c>
      <c r="D15" s="213" t="s">
        <v>22</v>
      </c>
      <c r="E15" s="169"/>
      <c r="F15" s="286"/>
      <c r="G15" s="287">
        <f aca="true" t="shared" si="1" ref="G15:G40">F15-E15</f>
        <v>0</v>
      </c>
      <c r="H15" s="288" t="e">
        <f aca="true" t="shared" si="2" ref="H15:H40">F15/E15</f>
        <v>#DIV/0!</v>
      </c>
      <c r="I15" s="286">
        <v>148555700</v>
      </c>
      <c r="J15" s="286"/>
      <c r="K15" s="286"/>
      <c r="L15" s="286"/>
      <c r="M15" s="289" t="e">
        <f aca="true" t="shared" si="3" ref="M15:M75">I15/G15</f>
        <v>#DIV/0!</v>
      </c>
      <c r="N15" s="286"/>
      <c r="O15" s="289">
        <f t="shared" si="0"/>
        <v>0</v>
      </c>
      <c r="P15" s="323">
        <f aca="true" t="shared" si="4" ref="P15:P40">K15-F15</f>
        <v>0</v>
      </c>
      <c r="Q15" s="311"/>
    </row>
    <row r="16" spans="1:17" ht="45" customHeight="1" hidden="1" outlineLevel="4">
      <c r="A16" s="172" t="s">
        <v>24</v>
      </c>
      <c r="B16" s="324"/>
      <c r="C16" s="306" t="s">
        <v>25</v>
      </c>
      <c r="D16" s="214" t="s">
        <v>24</v>
      </c>
      <c r="E16" s="169"/>
      <c r="F16" s="290"/>
      <c r="G16" s="291">
        <f t="shared" si="1"/>
        <v>0</v>
      </c>
      <c r="H16" s="292" t="e">
        <f t="shared" si="2"/>
        <v>#DIV/0!</v>
      </c>
      <c r="I16" s="290">
        <v>148555700</v>
      </c>
      <c r="J16" s="290"/>
      <c r="K16" s="290"/>
      <c r="L16" s="290"/>
      <c r="M16" s="293" t="e">
        <f t="shared" si="3"/>
        <v>#DIV/0!</v>
      </c>
      <c r="N16" s="290"/>
      <c r="O16" s="293">
        <f t="shared" si="0"/>
        <v>0</v>
      </c>
      <c r="P16" s="325">
        <f t="shared" si="4"/>
        <v>0</v>
      </c>
      <c r="Q16" s="312"/>
    </row>
    <row r="17" spans="1:17" ht="45" customHeight="1" hidden="1" outlineLevel="5">
      <c r="A17" s="172" t="s">
        <v>24</v>
      </c>
      <c r="B17" s="324"/>
      <c r="C17" s="306" t="s">
        <v>26</v>
      </c>
      <c r="D17" s="214" t="s">
        <v>24</v>
      </c>
      <c r="E17" s="169"/>
      <c r="F17" s="290"/>
      <c r="G17" s="291">
        <f t="shared" si="1"/>
        <v>0</v>
      </c>
      <c r="H17" s="292" t="e">
        <f t="shared" si="2"/>
        <v>#DIV/0!</v>
      </c>
      <c r="I17" s="290">
        <v>148555700</v>
      </c>
      <c r="J17" s="290"/>
      <c r="K17" s="290"/>
      <c r="L17" s="290"/>
      <c r="M17" s="293" t="e">
        <f t="shared" si="3"/>
        <v>#DIV/0!</v>
      </c>
      <c r="N17" s="290"/>
      <c r="O17" s="293">
        <f t="shared" si="0"/>
        <v>0</v>
      </c>
      <c r="P17" s="325">
        <f t="shared" si="4"/>
        <v>0</v>
      </c>
      <c r="Q17" s="312"/>
    </row>
    <row r="18" spans="1:17" ht="45" customHeight="1" hidden="1" outlineLevel="5">
      <c r="A18" s="172" t="s">
        <v>27</v>
      </c>
      <c r="B18" s="324"/>
      <c r="C18" s="306" t="s">
        <v>28</v>
      </c>
      <c r="D18" s="214" t="s">
        <v>27</v>
      </c>
      <c r="E18" s="169"/>
      <c r="F18" s="290"/>
      <c r="G18" s="291">
        <f t="shared" si="1"/>
        <v>0</v>
      </c>
      <c r="H18" s="292" t="e">
        <f t="shared" si="2"/>
        <v>#DIV/0!</v>
      </c>
      <c r="I18" s="290">
        <v>0</v>
      </c>
      <c r="J18" s="290"/>
      <c r="K18" s="290"/>
      <c r="L18" s="290"/>
      <c r="M18" s="293" t="e">
        <f t="shared" si="3"/>
        <v>#DIV/0!</v>
      </c>
      <c r="N18" s="290"/>
      <c r="O18" s="293" t="e">
        <f t="shared" si="0"/>
        <v>#DIV/0!</v>
      </c>
      <c r="P18" s="325">
        <f t="shared" si="4"/>
        <v>0</v>
      </c>
      <c r="Q18" s="312"/>
    </row>
    <row r="19" spans="1:17" ht="45" customHeight="1" hidden="1" outlineLevel="5">
      <c r="A19" s="172" t="s">
        <v>29</v>
      </c>
      <c r="B19" s="324"/>
      <c r="C19" s="306" t="s">
        <v>26</v>
      </c>
      <c r="D19" s="214" t="s">
        <v>29</v>
      </c>
      <c r="E19" s="169"/>
      <c r="F19" s="290"/>
      <c r="G19" s="291">
        <f t="shared" si="1"/>
        <v>0</v>
      </c>
      <c r="H19" s="292" t="e">
        <f t="shared" si="2"/>
        <v>#DIV/0!</v>
      </c>
      <c r="I19" s="290">
        <v>0</v>
      </c>
      <c r="J19" s="290"/>
      <c r="K19" s="290"/>
      <c r="L19" s="290"/>
      <c r="M19" s="293" t="e">
        <f t="shared" si="3"/>
        <v>#DIV/0!</v>
      </c>
      <c r="N19" s="290"/>
      <c r="O19" s="293" t="e">
        <f t="shared" si="0"/>
        <v>#DIV/0!</v>
      </c>
      <c r="P19" s="325">
        <f t="shared" si="4"/>
        <v>0</v>
      </c>
      <c r="Q19" s="312"/>
    </row>
    <row r="20" spans="1:17" ht="45" customHeight="1" hidden="1" outlineLevel="5">
      <c r="A20" s="172" t="s">
        <v>30</v>
      </c>
      <c r="B20" s="324"/>
      <c r="C20" s="306" t="s">
        <v>26</v>
      </c>
      <c r="D20" s="214" t="s">
        <v>30</v>
      </c>
      <c r="E20" s="169"/>
      <c r="F20" s="290"/>
      <c r="G20" s="291">
        <f t="shared" si="1"/>
        <v>0</v>
      </c>
      <c r="H20" s="292" t="e">
        <f t="shared" si="2"/>
        <v>#DIV/0!</v>
      </c>
      <c r="I20" s="290">
        <v>0</v>
      </c>
      <c r="J20" s="290"/>
      <c r="K20" s="290"/>
      <c r="L20" s="290"/>
      <c r="M20" s="293" t="e">
        <f t="shared" si="3"/>
        <v>#DIV/0!</v>
      </c>
      <c r="N20" s="290"/>
      <c r="O20" s="293" t="e">
        <f t="shared" si="0"/>
        <v>#DIV/0!</v>
      </c>
      <c r="P20" s="325">
        <f t="shared" si="4"/>
        <v>0</v>
      </c>
      <c r="Q20" s="312"/>
    </row>
    <row r="21" spans="1:17" ht="45" customHeight="1" hidden="1" outlineLevel="5">
      <c r="A21" s="172" t="s">
        <v>31</v>
      </c>
      <c r="B21" s="324"/>
      <c r="C21" s="306" t="s">
        <v>28</v>
      </c>
      <c r="D21" s="214" t="s">
        <v>31</v>
      </c>
      <c r="E21" s="169"/>
      <c r="F21" s="290"/>
      <c r="G21" s="291">
        <f t="shared" si="1"/>
        <v>0</v>
      </c>
      <c r="H21" s="292" t="e">
        <f t="shared" si="2"/>
        <v>#DIV/0!</v>
      </c>
      <c r="I21" s="290">
        <v>0</v>
      </c>
      <c r="J21" s="290"/>
      <c r="K21" s="290"/>
      <c r="L21" s="290"/>
      <c r="M21" s="293" t="e">
        <f t="shared" si="3"/>
        <v>#DIV/0!</v>
      </c>
      <c r="N21" s="290"/>
      <c r="O21" s="293" t="e">
        <f t="shared" si="0"/>
        <v>#DIV/0!</v>
      </c>
      <c r="P21" s="325">
        <f t="shared" si="4"/>
        <v>0</v>
      </c>
      <c r="Q21" s="312"/>
    </row>
    <row r="22" spans="1:17" ht="45" customHeight="1" hidden="1" outlineLevel="3">
      <c r="A22" s="172" t="s">
        <v>32</v>
      </c>
      <c r="B22" s="324"/>
      <c r="C22" s="306" t="s">
        <v>23</v>
      </c>
      <c r="D22" s="214" t="s">
        <v>32</v>
      </c>
      <c r="E22" s="169"/>
      <c r="F22" s="290"/>
      <c r="G22" s="291">
        <f t="shared" si="1"/>
        <v>0</v>
      </c>
      <c r="H22" s="292" t="e">
        <f t="shared" si="2"/>
        <v>#DIV/0!</v>
      </c>
      <c r="I22" s="290">
        <v>750300</v>
      </c>
      <c r="J22" s="290"/>
      <c r="K22" s="290"/>
      <c r="L22" s="290"/>
      <c r="M22" s="293" t="e">
        <f t="shared" si="3"/>
        <v>#DIV/0!</v>
      </c>
      <c r="N22" s="290"/>
      <c r="O22" s="293">
        <f t="shared" si="0"/>
        <v>0</v>
      </c>
      <c r="P22" s="325">
        <f t="shared" si="4"/>
        <v>0</v>
      </c>
      <c r="Q22" s="312"/>
    </row>
    <row r="23" spans="1:17" ht="45" customHeight="1" hidden="1" outlineLevel="4">
      <c r="A23" s="172" t="s">
        <v>33</v>
      </c>
      <c r="B23" s="324"/>
      <c r="C23" s="306" t="s">
        <v>34</v>
      </c>
      <c r="D23" s="214" t="s">
        <v>33</v>
      </c>
      <c r="E23" s="169"/>
      <c r="F23" s="290"/>
      <c r="G23" s="291">
        <f t="shared" si="1"/>
        <v>0</v>
      </c>
      <c r="H23" s="292" t="e">
        <f t="shared" si="2"/>
        <v>#DIV/0!</v>
      </c>
      <c r="I23" s="290">
        <v>750300</v>
      </c>
      <c r="J23" s="290"/>
      <c r="K23" s="290"/>
      <c r="L23" s="290"/>
      <c r="M23" s="293" t="e">
        <f t="shared" si="3"/>
        <v>#DIV/0!</v>
      </c>
      <c r="N23" s="290"/>
      <c r="O23" s="293">
        <f t="shared" si="0"/>
        <v>0</v>
      </c>
      <c r="P23" s="325">
        <f t="shared" si="4"/>
        <v>0</v>
      </c>
      <c r="Q23" s="312"/>
    </row>
    <row r="24" spans="1:17" ht="45" customHeight="1" hidden="1" outlineLevel="5">
      <c r="A24" s="172" t="s">
        <v>33</v>
      </c>
      <c r="B24" s="324"/>
      <c r="C24" s="306" t="s">
        <v>35</v>
      </c>
      <c r="D24" s="214" t="s">
        <v>33</v>
      </c>
      <c r="E24" s="169"/>
      <c r="F24" s="290"/>
      <c r="G24" s="291">
        <f t="shared" si="1"/>
        <v>0</v>
      </c>
      <c r="H24" s="292" t="e">
        <f t="shared" si="2"/>
        <v>#DIV/0!</v>
      </c>
      <c r="I24" s="290">
        <v>750300</v>
      </c>
      <c r="J24" s="290"/>
      <c r="K24" s="290"/>
      <c r="L24" s="290"/>
      <c r="M24" s="293" t="e">
        <f t="shared" si="3"/>
        <v>#DIV/0!</v>
      </c>
      <c r="N24" s="290"/>
      <c r="O24" s="293">
        <f t="shared" si="0"/>
        <v>0</v>
      </c>
      <c r="P24" s="325">
        <f t="shared" si="4"/>
        <v>0</v>
      </c>
      <c r="Q24" s="312"/>
    </row>
    <row r="25" spans="1:17" ht="45" customHeight="1" hidden="1" outlineLevel="5">
      <c r="A25" s="172" t="s">
        <v>36</v>
      </c>
      <c r="B25" s="324"/>
      <c r="C25" s="306" t="s">
        <v>35</v>
      </c>
      <c r="D25" s="214" t="s">
        <v>36</v>
      </c>
      <c r="E25" s="169"/>
      <c r="F25" s="290"/>
      <c r="G25" s="291">
        <f t="shared" si="1"/>
        <v>0</v>
      </c>
      <c r="H25" s="292" t="e">
        <f t="shared" si="2"/>
        <v>#DIV/0!</v>
      </c>
      <c r="I25" s="290">
        <v>0</v>
      </c>
      <c r="J25" s="290"/>
      <c r="K25" s="290"/>
      <c r="L25" s="290"/>
      <c r="M25" s="293" t="e">
        <f t="shared" si="3"/>
        <v>#DIV/0!</v>
      </c>
      <c r="N25" s="290"/>
      <c r="O25" s="293" t="e">
        <f t="shared" si="0"/>
        <v>#DIV/0!</v>
      </c>
      <c r="P25" s="325">
        <f t="shared" si="4"/>
        <v>0</v>
      </c>
      <c r="Q25" s="312"/>
    </row>
    <row r="26" spans="1:17" ht="45" customHeight="1" hidden="1" outlineLevel="5">
      <c r="A26" s="172" t="s">
        <v>37</v>
      </c>
      <c r="B26" s="324"/>
      <c r="C26" s="306">
        <v>1.82101020200121E+19</v>
      </c>
      <c r="D26" s="214" t="s">
        <v>37</v>
      </c>
      <c r="E26" s="169"/>
      <c r="F26" s="290"/>
      <c r="G26" s="291">
        <f t="shared" si="1"/>
        <v>0</v>
      </c>
      <c r="H26" s="292" t="e">
        <f t="shared" si="2"/>
        <v>#DIV/0!</v>
      </c>
      <c r="I26" s="290">
        <v>0</v>
      </c>
      <c r="J26" s="290"/>
      <c r="K26" s="290"/>
      <c r="L26" s="290"/>
      <c r="M26" s="293" t="e">
        <f t="shared" si="3"/>
        <v>#DIV/0!</v>
      </c>
      <c r="N26" s="290"/>
      <c r="O26" s="293" t="e">
        <f t="shared" si="0"/>
        <v>#DIV/0!</v>
      </c>
      <c r="P26" s="325">
        <f t="shared" si="4"/>
        <v>0</v>
      </c>
      <c r="Q26" s="312"/>
    </row>
    <row r="27" spans="1:17" ht="45" customHeight="1" hidden="1" outlineLevel="5">
      <c r="A27" s="172" t="s">
        <v>38</v>
      </c>
      <c r="B27" s="324"/>
      <c r="C27" s="306" t="s">
        <v>35</v>
      </c>
      <c r="D27" s="214" t="s">
        <v>38</v>
      </c>
      <c r="E27" s="169"/>
      <c r="F27" s="290"/>
      <c r="G27" s="291">
        <f t="shared" si="1"/>
        <v>0</v>
      </c>
      <c r="H27" s="292" t="e">
        <f t="shared" si="2"/>
        <v>#DIV/0!</v>
      </c>
      <c r="I27" s="290">
        <v>0</v>
      </c>
      <c r="J27" s="290"/>
      <c r="K27" s="290"/>
      <c r="L27" s="290"/>
      <c r="M27" s="293" t="e">
        <f t="shared" si="3"/>
        <v>#DIV/0!</v>
      </c>
      <c r="N27" s="290"/>
      <c r="O27" s="293" t="e">
        <f t="shared" si="0"/>
        <v>#DIV/0!</v>
      </c>
      <c r="P27" s="325">
        <f t="shared" si="4"/>
        <v>0</v>
      </c>
      <c r="Q27" s="312"/>
    </row>
    <row r="28" spans="1:17" ht="45" customHeight="1" hidden="1" outlineLevel="3">
      <c r="A28" s="172" t="s">
        <v>39</v>
      </c>
      <c r="B28" s="324"/>
      <c r="C28" s="306" t="s">
        <v>23</v>
      </c>
      <c r="D28" s="214" t="s">
        <v>39</v>
      </c>
      <c r="E28" s="169"/>
      <c r="F28" s="290"/>
      <c r="G28" s="291">
        <f t="shared" si="1"/>
        <v>0</v>
      </c>
      <c r="H28" s="292" t="e">
        <f t="shared" si="2"/>
        <v>#DIV/0!</v>
      </c>
      <c r="I28" s="290">
        <v>450200</v>
      </c>
      <c r="J28" s="290"/>
      <c r="K28" s="290"/>
      <c r="L28" s="290"/>
      <c r="M28" s="293" t="e">
        <f t="shared" si="3"/>
        <v>#DIV/0!</v>
      </c>
      <c r="N28" s="290"/>
      <c r="O28" s="293">
        <f t="shared" si="0"/>
        <v>0</v>
      </c>
      <c r="P28" s="325">
        <f t="shared" si="4"/>
        <v>0</v>
      </c>
      <c r="Q28" s="312"/>
    </row>
    <row r="29" spans="1:17" ht="45" customHeight="1" hidden="1" outlineLevel="4">
      <c r="A29" s="172" t="s">
        <v>40</v>
      </c>
      <c r="B29" s="324"/>
      <c r="C29" s="306" t="s">
        <v>41</v>
      </c>
      <c r="D29" s="214" t="s">
        <v>40</v>
      </c>
      <c r="E29" s="169"/>
      <c r="F29" s="290"/>
      <c r="G29" s="291">
        <f t="shared" si="1"/>
        <v>0</v>
      </c>
      <c r="H29" s="292" t="e">
        <f t="shared" si="2"/>
        <v>#DIV/0!</v>
      </c>
      <c r="I29" s="290">
        <v>450200</v>
      </c>
      <c r="J29" s="290"/>
      <c r="K29" s="290"/>
      <c r="L29" s="290"/>
      <c r="M29" s="293" t="e">
        <f t="shared" si="3"/>
        <v>#DIV/0!</v>
      </c>
      <c r="N29" s="290"/>
      <c r="O29" s="293">
        <f t="shared" si="0"/>
        <v>0</v>
      </c>
      <c r="P29" s="325">
        <f t="shared" si="4"/>
        <v>0</v>
      </c>
      <c r="Q29" s="312"/>
    </row>
    <row r="30" spans="1:17" ht="45" customHeight="1" hidden="1" outlineLevel="5">
      <c r="A30" s="172" t="s">
        <v>40</v>
      </c>
      <c r="B30" s="324"/>
      <c r="C30" s="306" t="s">
        <v>42</v>
      </c>
      <c r="D30" s="214" t="s">
        <v>40</v>
      </c>
      <c r="E30" s="169"/>
      <c r="F30" s="290"/>
      <c r="G30" s="291">
        <f t="shared" si="1"/>
        <v>0</v>
      </c>
      <c r="H30" s="292" t="e">
        <f t="shared" si="2"/>
        <v>#DIV/0!</v>
      </c>
      <c r="I30" s="290">
        <v>450200</v>
      </c>
      <c r="J30" s="290"/>
      <c r="K30" s="290"/>
      <c r="L30" s="290"/>
      <c r="M30" s="293" t="e">
        <f t="shared" si="3"/>
        <v>#DIV/0!</v>
      </c>
      <c r="N30" s="290"/>
      <c r="O30" s="293">
        <f t="shared" si="0"/>
        <v>0</v>
      </c>
      <c r="P30" s="325">
        <f t="shared" si="4"/>
        <v>0</v>
      </c>
      <c r="Q30" s="312"/>
    </row>
    <row r="31" spans="1:17" ht="45" customHeight="1" hidden="1" outlineLevel="5">
      <c r="A31" s="172" t="s">
        <v>43</v>
      </c>
      <c r="B31" s="324"/>
      <c r="C31" s="306" t="s">
        <v>44</v>
      </c>
      <c r="D31" s="214" t="s">
        <v>43</v>
      </c>
      <c r="E31" s="169"/>
      <c r="F31" s="290"/>
      <c r="G31" s="291">
        <f t="shared" si="1"/>
        <v>0</v>
      </c>
      <c r="H31" s="292" t="e">
        <f t="shared" si="2"/>
        <v>#DIV/0!</v>
      </c>
      <c r="I31" s="290">
        <v>0</v>
      </c>
      <c r="J31" s="290"/>
      <c r="K31" s="290"/>
      <c r="L31" s="290"/>
      <c r="M31" s="293" t="e">
        <f t="shared" si="3"/>
        <v>#DIV/0!</v>
      </c>
      <c r="N31" s="290"/>
      <c r="O31" s="293" t="e">
        <f t="shared" si="0"/>
        <v>#DIV/0!</v>
      </c>
      <c r="P31" s="325">
        <f t="shared" si="4"/>
        <v>0</v>
      </c>
      <c r="Q31" s="312"/>
    </row>
    <row r="32" spans="1:17" ht="45" customHeight="1" hidden="1" outlineLevel="5">
      <c r="A32" s="172" t="s">
        <v>45</v>
      </c>
      <c r="B32" s="324"/>
      <c r="C32" s="306">
        <v>1.82101020300121E+19</v>
      </c>
      <c r="D32" s="214" t="s">
        <v>45</v>
      </c>
      <c r="E32" s="169"/>
      <c r="F32" s="290"/>
      <c r="G32" s="291">
        <f t="shared" si="1"/>
        <v>0</v>
      </c>
      <c r="H32" s="292" t="e">
        <f t="shared" si="2"/>
        <v>#DIV/0!</v>
      </c>
      <c r="I32" s="290">
        <v>0</v>
      </c>
      <c r="J32" s="290"/>
      <c r="K32" s="290"/>
      <c r="L32" s="290"/>
      <c r="M32" s="293" t="e">
        <f t="shared" si="3"/>
        <v>#DIV/0!</v>
      </c>
      <c r="N32" s="290"/>
      <c r="O32" s="293" t="e">
        <f t="shared" si="0"/>
        <v>#DIV/0!</v>
      </c>
      <c r="P32" s="325">
        <f t="shared" si="4"/>
        <v>0</v>
      </c>
      <c r="Q32" s="312"/>
    </row>
    <row r="33" spans="1:17" ht="45" customHeight="1" hidden="1" outlineLevel="5">
      <c r="A33" s="172" t="s">
        <v>46</v>
      </c>
      <c r="B33" s="324"/>
      <c r="C33" s="306" t="s">
        <v>44</v>
      </c>
      <c r="D33" s="214" t="s">
        <v>46</v>
      </c>
      <c r="E33" s="169"/>
      <c r="F33" s="290"/>
      <c r="G33" s="291">
        <f t="shared" si="1"/>
        <v>0</v>
      </c>
      <c r="H33" s="292" t="e">
        <f t="shared" si="2"/>
        <v>#DIV/0!</v>
      </c>
      <c r="I33" s="290">
        <v>0</v>
      </c>
      <c r="J33" s="290"/>
      <c r="K33" s="290"/>
      <c r="L33" s="290"/>
      <c r="M33" s="293" t="e">
        <f t="shared" si="3"/>
        <v>#DIV/0!</v>
      </c>
      <c r="N33" s="290"/>
      <c r="O33" s="293" t="e">
        <f t="shared" si="0"/>
        <v>#DIV/0!</v>
      </c>
      <c r="P33" s="325">
        <f t="shared" si="4"/>
        <v>0</v>
      </c>
      <c r="Q33" s="312"/>
    </row>
    <row r="34" spans="1:17" ht="45" customHeight="1" hidden="1" outlineLevel="5">
      <c r="A34" s="172" t="s">
        <v>47</v>
      </c>
      <c r="B34" s="324"/>
      <c r="C34" s="306" t="s">
        <v>44</v>
      </c>
      <c r="D34" s="214" t="s">
        <v>47</v>
      </c>
      <c r="E34" s="169"/>
      <c r="F34" s="290"/>
      <c r="G34" s="291">
        <f t="shared" si="1"/>
        <v>0</v>
      </c>
      <c r="H34" s="292" t="e">
        <f t="shared" si="2"/>
        <v>#DIV/0!</v>
      </c>
      <c r="I34" s="290">
        <v>0</v>
      </c>
      <c r="J34" s="290"/>
      <c r="K34" s="290"/>
      <c r="L34" s="290"/>
      <c r="M34" s="293" t="e">
        <f t="shared" si="3"/>
        <v>#DIV/0!</v>
      </c>
      <c r="N34" s="290"/>
      <c r="O34" s="293" t="e">
        <f t="shared" si="0"/>
        <v>#DIV/0!</v>
      </c>
      <c r="P34" s="325">
        <f t="shared" si="4"/>
        <v>0</v>
      </c>
      <c r="Q34" s="312"/>
    </row>
    <row r="35" spans="1:17" ht="45" customHeight="1" hidden="1" outlineLevel="3">
      <c r="A35" s="172" t="s">
        <v>48</v>
      </c>
      <c r="B35" s="324"/>
      <c r="C35" s="306" t="s">
        <v>23</v>
      </c>
      <c r="D35" s="214" t="s">
        <v>48</v>
      </c>
      <c r="E35" s="169"/>
      <c r="F35" s="290"/>
      <c r="G35" s="291">
        <f t="shared" si="1"/>
        <v>0</v>
      </c>
      <c r="H35" s="292" t="e">
        <f t="shared" si="2"/>
        <v>#DIV/0!</v>
      </c>
      <c r="I35" s="290">
        <v>300100</v>
      </c>
      <c r="J35" s="290"/>
      <c r="K35" s="290"/>
      <c r="L35" s="290"/>
      <c r="M35" s="293" t="e">
        <f t="shared" si="3"/>
        <v>#DIV/0!</v>
      </c>
      <c r="N35" s="290"/>
      <c r="O35" s="293">
        <f t="shared" si="0"/>
        <v>0</v>
      </c>
      <c r="P35" s="325">
        <f t="shared" si="4"/>
        <v>0</v>
      </c>
      <c r="Q35" s="312"/>
    </row>
    <row r="36" spans="1:17" ht="45" customHeight="1" hidden="1" outlineLevel="4">
      <c r="A36" s="172" t="s">
        <v>49</v>
      </c>
      <c r="B36" s="324"/>
      <c r="C36" s="306" t="s">
        <v>50</v>
      </c>
      <c r="D36" s="214" t="s">
        <v>49</v>
      </c>
      <c r="E36" s="169"/>
      <c r="F36" s="290"/>
      <c r="G36" s="291">
        <f t="shared" si="1"/>
        <v>0</v>
      </c>
      <c r="H36" s="292" t="e">
        <f t="shared" si="2"/>
        <v>#DIV/0!</v>
      </c>
      <c r="I36" s="290">
        <v>300100</v>
      </c>
      <c r="J36" s="290"/>
      <c r="K36" s="290"/>
      <c r="L36" s="290"/>
      <c r="M36" s="293" t="e">
        <f t="shared" si="3"/>
        <v>#DIV/0!</v>
      </c>
      <c r="N36" s="290"/>
      <c r="O36" s="293">
        <f t="shared" si="0"/>
        <v>0</v>
      </c>
      <c r="P36" s="325">
        <f t="shared" si="4"/>
        <v>0</v>
      </c>
      <c r="Q36" s="312"/>
    </row>
    <row r="37" spans="1:17" ht="45" customHeight="1" hidden="1" outlineLevel="5">
      <c r="A37" s="172" t="s">
        <v>49</v>
      </c>
      <c r="B37" s="324"/>
      <c r="C37" s="306" t="s">
        <v>51</v>
      </c>
      <c r="D37" s="214" t="s">
        <v>49</v>
      </c>
      <c r="E37" s="169"/>
      <c r="F37" s="290"/>
      <c r="G37" s="291">
        <f t="shared" si="1"/>
        <v>0</v>
      </c>
      <c r="H37" s="292" t="e">
        <f t="shared" si="2"/>
        <v>#DIV/0!</v>
      </c>
      <c r="I37" s="290">
        <v>300100</v>
      </c>
      <c r="J37" s="290"/>
      <c r="K37" s="290"/>
      <c r="L37" s="290"/>
      <c r="M37" s="293" t="e">
        <f t="shared" si="3"/>
        <v>#DIV/0!</v>
      </c>
      <c r="N37" s="290"/>
      <c r="O37" s="293">
        <f t="shared" si="0"/>
        <v>0</v>
      </c>
      <c r="P37" s="325">
        <f t="shared" si="4"/>
        <v>0</v>
      </c>
      <c r="Q37" s="312"/>
    </row>
    <row r="38" spans="1:17" ht="45" customHeight="1" hidden="1" outlineLevel="5">
      <c r="A38" s="172" t="s">
        <v>52</v>
      </c>
      <c r="B38" s="324"/>
      <c r="C38" s="306" t="s">
        <v>53</v>
      </c>
      <c r="D38" s="214" t="s">
        <v>52</v>
      </c>
      <c r="E38" s="169">
        <v>8650982.19</v>
      </c>
      <c r="F38" s="290"/>
      <c r="G38" s="291">
        <f t="shared" si="1"/>
        <v>-8650982.19</v>
      </c>
      <c r="H38" s="292">
        <f t="shared" si="2"/>
        <v>0</v>
      </c>
      <c r="I38" s="290">
        <v>0</v>
      </c>
      <c r="J38" s="290"/>
      <c r="K38" s="290"/>
      <c r="L38" s="290"/>
      <c r="M38" s="293">
        <f t="shared" si="3"/>
        <v>0</v>
      </c>
      <c r="N38" s="290"/>
      <c r="O38" s="293" t="e">
        <f t="shared" si="0"/>
        <v>#DIV/0!</v>
      </c>
      <c r="P38" s="325">
        <f t="shared" si="4"/>
        <v>0</v>
      </c>
      <c r="Q38" s="312"/>
    </row>
    <row r="39" spans="1:17" ht="41.25" customHeight="1" outlineLevel="2" collapsed="1">
      <c r="A39" s="172" t="s">
        <v>54</v>
      </c>
      <c r="B39" s="324" t="s">
        <v>55</v>
      </c>
      <c r="C39" s="306" t="s">
        <v>56</v>
      </c>
      <c r="D39" s="214" t="s">
        <v>54</v>
      </c>
      <c r="E39" s="169">
        <v>10254357.32</v>
      </c>
      <c r="F39" s="290">
        <v>4</v>
      </c>
      <c r="G39" s="291">
        <f t="shared" si="1"/>
        <v>-10254353.32</v>
      </c>
      <c r="H39" s="292">
        <f t="shared" si="2"/>
        <v>3.9007807853530113E-07</v>
      </c>
      <c r="I39" s="290">
        <v>9197170</v>
      </c>
      <c r="J39" s="290">
        <v>676056.9</v>
      </c>
      <c r="K39" s="290">
        <v>4.2</v>
      </c>
      <c r="L39" s="294">
        <f>K39-J39</f>
        <v>-676052.7000000001</v>
      </c>
      <c r="M39" s="293">
        <f t="shared" si="3"/>
        <v>-0.8969039502531984</v>
      </c>
      <c r="N39" s="290">
        <f>K39-I39</f>
        <v>-9197165.8</v>
      </c>
      <c r="O39" s="293">
        <f t="shared" si="0"/>
        <v>4.5666221239794417E-07</v>
      </c>
      <c r="P39" s="325">
        <f t="shared" si="4"/>
        <v>0.20000000000000018</v>
      </c>
      <c r="Q39" s="313" t="s">
        <v>267</v>
      </c>
    </row>
    <row r="40" spans="1:17" ht="58.5" customHeight="1" hidden="1" outlineLevel="1">
      <c r="A40" s="172" t="s">
        <v>57</v>
      </c>
      <c r="B40" s="324" t="s">
        <v>58</v>
      </c>
      <c r="C40" s="306" t="s">
        <v>59</v>
      </c>
      <c r="D40" s="214" t="s">
        <v>57</v>
      </c>
      <c r="E40" s="170">
        <f>E41+E42+E52+E56</f>
        <v>45903932.26</v>
      </c>
      <c r="F40" s="290">
        <f>F41+F42+F52+F56</f>
        <v>140608.51</v>
      </c>
      <c r="G40" s="291">
        <f t="shared" si="1"/>
        <v>-45763323.75</v>
      </c>
      <c r="H40" s="292">
        <f t="shared" si="2"/>
        <v>0.0030631038143659026</v>
      </c>
      <c r="I40" s="290">
        <f>I41+I42+I52+I56</f>
        <v>44278800</v>
      </c>
      <c r="J40" s="290">
        <f>J41+J42+J52+J56</f>
        <v>1291804</v>
      </c>
      <c r="K40" s="290">
        <f>K41+K42+K52+K56</f>
        <v>-204262.26</v>
      </c>
      <c r="L40" s="294">
        <f>K40-J40</f>
        <v>-1496066.26</v>
      </c>
      <c r="M40" s="293">
        <f t="shared" si="3"/>
        <v>-0.9675608406830372</v>
      </c>
      <c r="N40" s="290">
        <f>N41+N42+N52+N56</f>
        <v>-44483062.260000005</v>
      </c>
      <c r="O40" s="293">
        <f t="shared" si="0"/>
        <v>-0.004613093850781865</v>
      </c>
      <c r="P40" s="325">
        <f t="shared" si="4"/>
        <v>-344870.77</v>
      </c>
      <c r="Q40" s="313" t="s">
        <v>267</v>
      </c>
    </row>
    <row r="41" spans="1:17" ht="41.25" customHeight="1" outlineLevel="1">
      <c r="A41" s="172"/>
      <c r="B41" s="324" t="s">
        <v>60</v>
      </c>
      <c r="C41" s="306" t="s">
        <v>61</v>
      </c>
      <c r="D41" s="168" t="s">
        <v>62</v>
      </c>
      <c r="E41" s="169">
        <v>33191065.25</v>
      </c>
      <c r="F41" s="290">
        <v>15.3</v>
      </c>
      <c r="G41" s="295">
        <f>F41-E41</f>
        <v>-33191049.95</v>
      </c>
      <c r="H41" s="293"/>
      <c r="I41" s="290">
        <v>31715800</v>
      </c>
      <c r="J41" s="290">
        <v>728906</v>
      </c>
      <c r="K41" s="290">
        <v>19.7</v>
      </c>
      <c r="L41" s="290">
        <f>K41-J41</f>
        <v>-728886.3</v>
      </c>
      <c r="M41" s="293">
        <f t="shared" si="3"/>
        <v>-0.9555527784682208</v>
      </c>
      <c r="N41" s="290">
        <f>K41-I41</f>
        <v>-31715780.3</v>
      </c>
      <c r="O41" s="293">
        <f t="shared" si="0"/>
        <v>6.211415130628898E-07</v>
      </c>
      <c r="P41" s="326">
        <f>K41-F41</f>
        <v>4.399999999999999</v>
      </c>
      <c r="Q41" s="314"/>
    </row>
    <row r="42" spans="1:17" ht="46.5" hidden="1" outlineLevel="2">
      <c r="A42" s="172" t="s">
        <v>63</v>
      </c>
      <c r="B42" s="324" t="s">
        <v>64</v>
      </c>
      <c r="C42" s="306" t="s">
        <v>65</v>
      </c>
      <c r="D42" s="168" t="s">
        <v>63</v>
      </c>
      <c r="E42" s="169">
        <v>108221.73</v>
      </c>
      <c r="F42" s="290">
        <v>77531.95</v>
      </c>
      <c r="G42" s="295">
        <f>F42-E42</f>
        <v>-30689.78</v>
      </c>
      <c r="H42" s="293">
        <f>F42/E42</f>
        <v>0.7164175808315021</v>
      </c>
      <c r="I42" s="290"/>
      <c r="J42" s="290"/>
      <c r="K42" s="290">
        <v>-221964.26</v>
      </c>
      <c r="L42" s="290">
        <f aca="true" t="shared" si="5" ref="L42:L56">K42-J42</f>
        <v>-221964.26</v>
      </c>
      <c r="M42" s="293">
        <f t="shared" si="3"/>
        <v>0</v>
      </c>
      <c r="N42" s="290">
        <f>K42-I42</f>
        <v>-221964.26</v>
      </c>
      <c r="O42" s="293"/>
      <c r="P42" s="326">
        <f>K42-F42</f>
        <v>-299496.21</v>
      </c>
      <c r="Q42" s="315" t="s">
        <v>263</v>
      </c>
    </row>
    <row r="43" spans="1:17" ht="45" customHeight="1" hidden="1" outlineLevel="3">
      <c r="A43" s="172" t="s">
        <v>66</v>
      </c>
      <c r="B43" s="324"/>
      <c r="C43" s="306" t="s">
        <v>23</v>
      </c>
      <c r="D43" s="168" t="s">
        <v>66</v>
      </c>
      <c r="E43" s="169"/>
      <c r="F43" s="290"/>
      <c r="G43" s="295">
        <f aca="true" t="shared" si="6" ref="G43:G56">F43-E43</f>
        <v>0</v>
      </c>
      <c r="H43" s="293" t="e">
        <f aca="true" t="shared" si="7" ref="H43:H56">F43/E43</f>
        <v>#DIV/0!</v>
      </c>
      <c r="I43" s="290">
        <v>57591300</v>
      </c>
      <c r="J43" s="290"/>
      <c r="K43" s="290"/>
      <c r="L43" s="290">
        <f t="shared" si="5"/>
        <v>0</v>
      </c>
      <c r="M43" s="293" t="e">
        <f t="shared" si="3"/>
        <v>#DIV/0!</v>
      </c>
      <c r="N43" s="290">
        <f aca="true" t="shared" si="8" ref="N43:N56">K43-I43</f>
        <v>-57591300</v>
      </c>
      <c r="O43" s="293">
        <f t="shared" si="0"/>
        <v>0</v>
      </c>
      <c r="P43" s="326">
        <f aca="true" t="shared" si="9" ref="P43:P56">K43-F43</f>
        <v>0</v>
      </c>
      <c r="Q43" s="312"/>
    </row>
    <row r="44" spans="1:17" ht="45" customHeight="1" hidden="1" outlineLevel="4">
      <c r="A44" s="172" t="s">
        <v>67</v>
      </c>
      <c r="B44" s="324"/>
      <c r="C44" s="306" t="s">
        <v>68</v>
      </c>
      <c r="D44" s="168" t="s">
        <v>67</v>
      </c>
      <c r="E44" s="169"/>
      <c r="F44" s="290"/>
      <c r="G44" s="295">
        <f t="shared" si="6"/>
        <v>0</v>
      </c>
      <c r="H44" s="293" t="e">
        <f t="shared" si="7"/>
        <v>#DIV/0!</v>
      </c>
      <c r="I44" s="290">
        <v>57591300</v>
      </c>
      <c r="J44" s="290"/>
      <c r="K44" s="290"/>
      <c r="L44" s="290">
        <f t="shared" si="5"/>
        <v>0</v>
      </c>
      <c r="M44" s="293" t="e">
        <f t="shared" si="3"/>
        <v>#DIV/0!</v>
      </c>
      <c r="N44" s="290">
        <f t="shared" si="8"/>
        <v>-57591300</v>
      </c>
      <c r="O44" s="293">
        <f t="shared" si="0"/>
        <v>0</v>
      </c>
      <c r="P44" s="326">
        <f t="shared" si="9"/>
        <v>0</v>
      </c>
      <c r="Q44" s="312"/>
    </row>
    <row r="45" spans="1:17" ht="45" customHeight="1" hidden="1" outlineLevel="5">
      <c r="A45" s="172" t="s">
        <v>67</v>
      </c>
      <c r="B45" s="324"/>
      <c r="C45" s="306" t="s">
        <v>69</v>
      </c>
      <c r="D45" s="168" t="s">
        <v>67</v>
      </c>
      <c r="E45" s="169"/>
      <c r="F45" s="290"/>
      <c r="G45" s="295">
        <f t="shared" si="6"/>
        <v>0</v>
      </c>
      <c r="H45" s="293" t="e">
        <f t="shared" si="7"/>
        <v>#DIV/0!</v>
      </c>
      <c r="I45" s="290">
        <v>57591300</v>
      </c>
      <c r="J45" s="290"/>
      <c r="K45" s="290"/>
      <c r="L45" s="290">
        <f t="shared" si="5"/>
        <v>0</v>
      </c>
      <c r="M45" s="293" t="e">
        <f t="shared" si="3"/>
        <v>#DIV/0!</v>
      </c>
      <c r="N45" s="290">
        <f t="shared" si="8"/>
        <v>-57591300</v>
      </c>
      <c r="O45" s="293">
        <f t="shared" si="0"/>
        <v>0</v>
      </c>
      <c r="P45" s="326">
        <f t="shared" si="9"/>
        <v>0</v>
      </c>
      <c r="Q45" s="312"/>
    </row>
    <row r="46" spans="1:17" ht="45" customHeight="1" hidden="1" outlineLevel="5">
      <c r="A46" s="172" t="s">
        <v>70</v>
      </c>
      <c r="B46" s="324"/>
      <c r="C46" s="306" t="s">
        <v>69</v>
      </c>
      <c r="D46" s="168" t="s">
        <v>70</v>
      </c>
      <c r="E46" s="169"/>
      <c r="F46" s="290"/>
      <c r="G46" s="295">
        <f t="shared" si="6"/>
        <v>0</v>
      </c>
      <c r="H46" s="293" t="e">
        <f t="shared" si="7"/>
        <v>#DIV/0!</v>
      </c>
      <c r="I46" s="290">
        <v>0</v>
      </c>
      <c r="J46" s="290"/>
      <c r="K46" s="290"/>
      <c r="L46" s="290">
        <f t="shared" si="5"/>
        <v>0</v>
      </c>
      <c r="M46" s="293" t="e">
        <f t="shared" si="3"/>
        <v>#DIV/0!</v>
      </c>
      <c r="N46" s="290">
        <f t="shared" si="8"/>
        <v>0</v>
      </c>
      <c r="O46" s="293" t="e">
        <f t="shared" si="0"/>
        <v>#DIV/0!</v>
      </c>
      <c r="P46" s="326">
        <f t="shared" si="9"/>
        <v>0</v>
      </c>
      <c r="Q46" s="312"/>
    </row>
    <row r="47" spans="1:17" ht="45" customHeight="1" hidden="1" outlineLevel="5">
      <c r="A47" s="172" t="s">
        <v>71</v>
      </c>
      <c r="B47" s="324"/>
      <c r="C47" s="306" t="s">
        <v>69</v>
      </c>
      <c r="D47" s="168" t="s">
        <v>71</v>
      </c>
      <c r="E47" s="169"/>
      <c r="F47" s="290"/>
      <c r="G47" s="295">
        <f t="shared" si="6"/>
        <v>0</v>
      </c>
      <c r="H47" s="293" t="e">
        <f t="shared" si="7"/>
        <v>#DIV/0!</v>
      </c>
      <c r="I47" s="290">
        <v>0</v>
      </c>
      <c r="J47" s="290"/>
      <c r="K47" s="290"/>
      <c r="L47" s="290">
        <f t="shared" si="5"/>
        <v>0</v>
      </c>
      <c r="M47" s="293" t="e">
        <f t="shared" si="3"/>
        <v>#DIV/0!</v>
      </c>
      <c r="N47" s="290">
        <f t="shared" si="8"/>
        <v>0</v>
      </c>
      <c r="O47" s="293" t="e">
        <f t="shared" si="0"/>
        <v>#DIV/0!</v>
      </c>
      <c r="P47" s="326">
        <f t="shared" si="9"/>
        <v>0</v>
      </c>
      <c r="Q47" s="312"/>
    </row>
    <row r="48" spans="1:17" ht="45" customHeight="1" hidden="1" outlineLevel="5">
      <c r="A48" s="172" t="s">
        <v>72</v>
      </c>
      <c r="B48" s="324"/>
      <c r="C48" s="306" t="s">
        <v>69</v>
      </c>
      <c r="D48" s="168" t="s">
        <v>72</v>
      </c>
      <c r="E48" s="169"/>
      <c r="F48" s="290"/>
      <c r="G48" s="295">
        <f t="shared" si="6"/>
        <v>0</v>
      </c>
      <c r="H48" s="293" t="e">
        <f t="shared" si="7"/>
        <v>#DIV/0!</v>
      </c>
      <c r="I48" s="290">
        <v>0</v>
      </c>
      <c r="J48" s="290"/>
      <c r="K48" s="290"/>
      <c r="L48" s="290">
        <f t="shared" si="5"/>
        <v>0</v>
      </c>
      <c r="M48" s="293" t="e">
        <f t="shared" si="3"/>
        <v>#DIV/0!</v>
      </c>
      <c r="N48" s="290">
        <f t="shared" si="8"/>
        <v>0</v>
      </c>
      <c r="O48" s="293" t="e">
        <f t="shared" si="0"/>
        <v>#DIV/0!</v>
      </c>
      <c r="P48" s="326">
        <f t="shared" si="9"/>
        <v>0</v>
      </c>
      <c r="Q48" s="312"/>
    </row>
    <row r="49" spans="1:17" ht="45" customHeight="1" hidden="1" outlineLevel="3">
      <c r="A49" s="172" t="s">
        <v>73</v>
      </c>
      <c r="B49" s="324"/>
      <c r="C49" s="306" t="s">
        <v>23</v>
      </c>
      <c r="D49" s="168" t="s">
        <v>73</v>
      </c>
      <c r="E49" s="169"/>
      <c r="F49" s="290"/>
      <c r="G49" s="295">
        <f t="shared" si="6"/>
        <v>0</v>
      </c>
      <c r="H49" s="293" t="e">
        <f t="shared" si="7"/>
        <v>#DIV/0!</v>
      </c>
      <c r="I49" s="290">
        <v>0</v>
      </c>
      <c r="J49" s="290"/>
      <c r="K49" s="290"/>
      <c r="L49" s="290">
        <f t="shared" si="5"/>
        <v>0</v>
      </c>
      <c r="M49" s="293" t="e">
        <f t="shared" si="3"/>
        <v>#DIV/0!</v>
      </c>
      <c r="N49" s="290">
        <f t="shared" si="8"/>
        <v>0</v>
      </c>
      <c r="O49" s="293" t="e">
        <f t="shared" si="0"/>
        <v>#DIV/0!</v>
      </c>
      <c r="P49" s="326">
        <f t="shared" si="9"/>
        <v>0</v>
      </c>
      <c r="Q49" s="312"/>
    </row>
    <row r="50" spans="1:17" ht="45" customHeight="1" hidden="1" outlineLevel="4">
      <c r="A50" s="172" t="s">
        <v>74</v>
      </c>
      <c r="B50" s="324"/>
      <c r="C50" s="306" t="s">
        <v>75</v>
      </c>
      <c r="D50" s="168" t="s">
        <v>74</v>
      </c>
      <c r="E50" s="169"/>
      <c r="F50" s="290"/>
      <c r="G50" s="295">
        <f t="shared" si="6"/>
        <v>0</v>
      </c>
      <c r="H50" s="293" t="e">
        <f t="shared" si="7"/>
        <v>#DIV/0!</v>
      </c>
      <c r="I50" s="290">
        <v>0</v>
      </c>
      <c r="J50" s="290"/>
      <c r="K50" s="290"/>
      <c r="L50" s="290">
        <f t="shared" si="5"/>
        <v>0</v>
      </c>
      <c r="M50" s="293" t="e">
        <f t="shared" si="3"/>
        <v>#DIV/0!</v>
      </c>
      <c r="N50" s="290">
        <f t="shared" si="8"/>
        <v>0</v>
      </c>
      <c r="O50" s="293" t="e">
        <f t="shared" si="0"/>
        <v>#DIV/0!</v>
      </c>
      <c r="P50" s="326">
        <f t="shared" si="9"/>
        <v>0</v>
      </c>
      <c r="Q50" s="312"/>
    </row>
    <row r="51" spans="1:17" ht="45" customHeight="1" hidden="1" outlineLevel="5">
      <c r="A51" s="172" t="s">
        <v>76</v>
      </c>
      <c r="B51" s="324"/>
      <c r="C51" s="306" t="s">
        <v>77</v>
      </c>
      <c r="D51" s="168" t="s">
        <v>76</v>
      </c>
      <c r="E51" s="169"/>
      <c r="F51" s="290"/>
      <c r="G51" s="295">
        <f t="shared" si="6"/>
        <v>0</v>
      </c>
      <c r="H51" s="293" t="e">
        <f t="shared" si="7"/>
        <v>#DIV/0!</v>
      </c>
      <c r="I51" s="290">
        <v>0</v>
      </c>
      <c r="J51" s="290"/>
      <c r="K51" s="290"/>
      <c r="L51" s="290">
        <f t="shared" si="5"/>
        <v>0</v>
      </c>
      <c r="M51" s="293" t="e">
        <f t="shared" si="3"/>
        <v>#DIV/0!</v>
      </c>
      <c r="N51" s="290">
        <f t="shared" si="8"/>
        <v>0</v>
      </c>
      <c r="O51" s="293" t="e">
        <f t="shared" si="0"/>
        <v>#DIV/0!</v>
      </c>
      <c r="P51" s="326">
        <f t="shared" si="9"/>
        <v>0</v>
      </c>
      <c r="Q51" s="312"/>
    </row>
    <row r="52" spans="1:17" ht="40.5" customHeight="1" hidden="1" outlineLevel="2" collapsed="1">
      <c r="A52" s="172" t="s">
        <v>78</v>
      </c>
      <c r="B52" s="324" t="s">
        <v>79</v>
      </c>
      <c r="C52" s="306" t="s">
        <v>80</v>
      </c>
      <c r="D52" s="168" t="s">
        <v>78</v>
      </c>
      <c r="E52" s="170">
        <v>63052.38</v>
      </c>
      <c r="F52" s="295">
        <v>63055.66</v>
      </c>
      <c r="G52" s="295">
        <f t="shared" si="6"/>
        <v>3.280000000006112</v>
      </c>
      <c r="H52" s="293">
        <f t="shared" si="7"/>
        <v>1.000052020240949</v>
      </c>
      <c r="I52" s="290">
        <v>63000</v>
      </c>
      <c r="J52" s="290"/>
      <c r="K52" s="295">
        <v>17679</v>
      </c>
      <c r="L52" s="290">
        <f t="shared" si="5"/>
        <v>17679</v>
      </c>
      <c r="M52" s="293">
        <f t="shared" si="3"/>
        <v>19207.317073134942</v>
      </c>
      <c r="N52" s="290">
        <f t="shared" si="8"/>
        <v>-45321</v>
      </c>
      <c r="O52" s="293">
        <f t="shared" si="0"/>
        <v>0.2806190476190476</v>
      </c>
      <c r="P52" s="326">
        <f t="shared" si="9"/>
        <v>-45376.66</v>
      </c>
      <c r="Q52" s="312"/>
    </row>
    <row r="53" spans="1:17" ht="45" customHeight="1" hidden="1" outlineLevel="3">
      <c r="A53" s="172" t="s">
        <v>81</v>
      </c>
      <c r="B53" s="324"/>
      <c r="C53" s="306" t="s">
        <v>23</v>
      </c>
      <c r="D53" s="168" t="s">
        <v>81</v>
      </c>
      <c r="E53" s="169"/>
      <c r="F53" s="290"/>
      <c r="G53" s="295">
        <f t="shared" si="6"/>
        <v>0</v>
      </c>
      <c r="H53" s="293" t="e">
        <f t="shared" si="7"/>
        <v>#DIV/0!</v>
      </c>
      <c r="I53" s="290"/>
      <c r="J53" s="290"/>
      <c r="K53" s="290"/>
      <c r="L53" s="290">
        <f t="shared" si="5"/>
        <v>0</v>
      </c>
      <c r="M53" s="293" t="e">
        <f t="shared" si="3"/>
        <v>#DIV/0!</v>
      </c>
      <c r="N53" s="290">
        <f t="shared" si="8"/>
        <v>0</v>
      </c>
      <c r="O53" s="293" t="e">
        <f t="shared" si="0"/>
        <v>#DIV/0!</v>
      </c>
      <c r="P53" s="326">
        <f t="shared" si="9"/>
        <v>0</v>
      </c>
      <c r="Q53" s="312"/>
    </row>
    <row r="54" spans="1:17" ht="45" customHeight="1" hidden="1" outlineLevel="4">
      <c r="A54" s="172" t="s">
        <v>82</v>
      </c>
      <c r="B54" s="324"/>
      <c r="C54" s="306" t="s">
        <v>83</v>
      </c>
      <c r="D54" s="168" t="s">
        <v>82</v>
      </c>
      <c r="E54" s="169"/>
      <c r="F54" s="290"/>
      <c r="G54" s="295">
        <f t="shared" si="6"/>
        <v>0</v>
      </c>
      <c r="H54" s="293" t="e">
        <f t="shared" si="7"/>
        <v>#DIV/0!</v>
      </c>
      <c r="I54" s="290"/>
      <c r="J54" s="290"/>
      <c r="K54" s="290"/>
      <c r="L54" s="290">
        <f t="shared" si="5"/>
        <v>0</v>
      </c>
      <c r="M54" s="293" t="e">
        <f t="shared" si="3"/>
        <v>#DIV/0!</v>
      </c>
      <c r="N54" s="290">
        <f t="shared" si="8"/>
        <v>0</v>
      </c>
      <c r="O54" s="293" t="e">
        <f t="shared" si="0"/>
        <v>#DIV/0!</v>
      </c>
      <c r="P54" s="326">
        <f t="shared" si="9"/>
        <v>0</v>
      </c>
      <c r="Q54" s="312"/>
    </row>
    <row r="55" spans="1:17" ht="26.25" customHeight="1" hidden="1" outlineLevel="5">
      <c r="A55" s="172" t="s">
        <v>82</v>
      </c>
      <c r="B55" s="324"/>
      <c r="C55" s="306" t="s">
        <v>84</v>
      </c>
      <c r="D55" s="168" t="s">
        <v>82</v>
      </c>
      <c r="E55" s="169"/>
      <c r="F55" s="290"/>
      <c r="G55" s="295">
        <f t="shared" si="6"/>
        <v>0</v>
      </c>
      <c r="H55" s="293" t="e">
        <f t="shared" si="7"/>
        <v>#DIV/0!</v>
      </c>
      <c r="I55" s="290"/>
      <c r="J55" s="290"/>
      <c r="K55" s="290"/>
      <c r="L55" s="290">
        <f t="shared" si="5"/>
        <v>0</v>
      </c>
      <c r="M55" s="293" t="e">
        <f t="shared" si="3"/>
        <v>#DIV/0!</v>
      </c>
      <c r="N55" s="290">
        <f t="shared" si="8"/>
        <v>0</v>
      </c>
      <c r="O55" s="293" t="e">
        <f t="shared" si="0"/>
        <v>#DIV/0!</v>
      </c>
      <c r="P55" s="326">
        <f t="shared" si="9"/>
        <v>0</v>
      </c>
      <c r="Q55" s="312"/>
    </row>
    <row r="56" spans="1:17" ht="35.25" customHeight="1" outlineLevel="2" collapsed="1">
      <c r="A56" s="172" t="s">
        <v>85</v>
      </c>
      <c r="B56" s="324" t="s">
        <v>86</v>
      </c>
      <c r="C56" s="306" t="s">
        <v>87</v>
      </c>
      <c r="D56" s="168" t="s">
        <v>85</v>
      </c>
      <c r="E56" s="169">
        <v>12541592.9</v>
      </c>
      <c r="F56" s="290">
        <v>5.6</v>
      </c>
      <c r="G56" s="295">
        <f t="shared" si="6"/>
        <v>-12541587.3</v>
      </c>
      <c r="H56" s="293">
        <f t="shared" si="7"/>
        <v>4.4651425418217807E-07</v>
      </c>
      <c r="I56" s="290">
        <v>12500000</v>
      </c>
      <c r="J56" s="290">
        <v>562898</v>
      </c>
      <c r="K56" s="290">
        <v>3.3</v>
      </c>
      <c r="L56" s="290">
        <f t="shared" si="5"/>
        <v>-562894.7</v>
      </c>
      <c r="M56" s="293">
        <f t="shared" si="3"/>
        <v>-0.9966840481188532</v>
      </c>
      <c r="N56" s="290">
        <f t="shared" si="8"/>
        <v>-12499996.7</v>
      </c>
      <c r="O56" s="293">
        <f t="shared" si="0"/>
        <v>2.64E-07</v>
      </c>
      <c r="P56" s="326">
        <f t="shared" si="9"/>
        <v>-2.3</v>
      </c>
      <c r="Q56" s="315"/>
    </row>
    <row r="57" spans="1:17" ht="45" customHeight="1" hidden="1" outlineLevel="3">
      <c r="A57" s="172" t="s">
        <v>88</v>
      </c>
      <c r="B57" s="324"/>
      <c r="C57" s="306" t="s">
        <v>23</v>
      </c>
      <c r="D57" s="168" t="s">
        <v>88</v>
      </c>
      <c r="E57" s="169">
        <v>401120</v>
      </c>
      <c r="F57" s="290">
        <v>401120</v>
      </c>
      <c r="G57" s="295"/>
      <c r="H57" s="293" t="e">
        <f>E57/#REF!</f>
        <v>#REF!</v>
      </c>
      <c r="I57" s="290">
        <v>8300000</v>
      </c>
      <c r="J57" s="290"/>
      <c r="K57" s="290">
        <v>401120</v>
      </c>
      <c r="L57" s="290"/>
      <c r="M57" s="293" t="e">
        <f t="shared" si="3"/>
        <v>#DIV/0!</v>
      </c>
      <c r="N57" s="290"/>
      <c r="O57" s="293">
        <f t="shared" si="0"/>
        <v>0.04832771084337349</v>
      </c>
      <c r="P57" s="326" t="e">
        <f>E57-#REF!</f>
        <v>#REF!</v>
      </c>
      <c r="Q57" s="312"/>
    </row>
    <row r="58" spans="1:17" ht="45" customHeight="1" hidden="1" outlineLevel="4">
      <c r="A58" s="172" t="s">
        <v>89</v>
      </c>
      <c r="B58" s="324"/>
      <c r="C58" s="306" t="s">
        <v>90</v>
      </c>
      <c r="D58" s="168" t="s">
        <v>89</v>
      </c>
      <c r="E58" s="169">
        <v>0</v>
      </c>
      <c r="F58" s="290">
        <v>401120</v>
      </c>
      <c r="G58" s="295"/>
      <c r="H58" s="293" t="e">
        <f>E58/#REF!</f>
        <v>#REF!</v>
      </c>
      <c r="I58" s="290">
        <v>8300000</v>
      </c>
      <c r="J58" s="290"/>
      <c r="K58" s="290">
        <v>401120</v>
      </c>
      <c r="L58" s="290"/>
      <c r="M58" s="293" t="e">
        <f t="shared" si="3"/>
        <v>#DIV/0!</v>
      </c>
      <c r="N58" s="290"/>
      <c r="O58" s="293">
        <f t="shared" si="0"/>
        <v>0.04832771084337349</v>
      </c>
      <c r="P58" s="326" t="e">
        <f>E58-#REF!</f>
        <v>#REF!</v>
      </c>
      <c r="Q58" s="312"/>
    </row>
    <row r="59" spans="1:17" ht="45" customHeight="1" hidden="1" outlineLevel="5">
      <c r="A59" s="172" t="s">
        <v>89</v>
      </c>
      <c r="B59" s="324"/>
      <c r="C59" s="306" t="s">
        <v>91</v>
      </c>
      <c r="D59" s="168" t="s">
        <v>89</v>
      </c>
      <c r="E59" s="169">
        <v>401106.8</v>
      </c>
      <c r="F59" s="290">
        <v>0</v>
      </c>
      <c r="G59" s="295"/>
      <c r="H59" s="293" t="e">
        <f>E59/#REF!</f>
        <v>#REF!</v>
      </c>
      <c r="I59" s="290">
        <v>8300000</v>
      </c>
      <c r="J59" s="290"/>
      <c r="K59" s="290">
        <v>0</v>
      </c>
      <c r="L59" s="290"/>
      <c r="M59" s="293" t="e">
        <f t="shared" si="3"/>
        <v>#DIV/0!</v>
      </c>
      <c r="N59" s="290"/>
      <c r="O59" s="293">
        <f t="shared" si="0"/>
        <v>0</v>
      </c>
      <c r="P59" s="326" t="e">
        <f>E59-#REF!</f>
        <v>#REF!</v>
      </c>
      <c r="Q59" s="312"/>
    </row>
    <row r="60" spans="1:17" ht="45" customHeight="1" hidden="1" outlineLevel="5">
      <c r="A60" s="172" t="s">
        <v>92</v>
      </c>
      <c r="B60" s="324"/>
      <c r="C60" s="306" t="s">
        <v>91</v>
      </c>
      <c r="D60" s="168" t="s">
        <v>92</v>
      </c>
      <c r="E60" s="169">
        <v>13.2</v>
      </c>
      <c r="F60" s="290">
        <v>401106.8</v>
      </c>
      <c r="G60" s="295"/>
      <c r="H60" s="293" t="e">
        <f>E60/#REF!</f>
        <v>#REF!</v>
      </c>
      <c r="I60" s="290">
        <v>0</v>
      </c>
      <c r="J60" s="290"/>
      <c r="K60" s="290">
        <v>401106.8</v>
      </c>
      <c r="L60" s="290"/>
      <c r="M60" s="293" t="e">
        <f t="shared" si="3"/>
        <v>#DIV/0!</v>
      </c>
      <c r="N60" s="290"/>
      <c r="O60" s="293" t="e">
        <f t="shared" si="0"/>
        <v>#DIV/0!</v>
      </c>
      <c r="P60" s="326" t="e">
        <f>E60-#REF!</f>
        <v>#REF!</v>
      </c>
      <c r="Q60" s="312"/>
    </row>
    <row r="61" spans="1:17" ht="45" customHeight="1" hidden="1" outlineLevel="5">
      <c r="A61" s="172" t="s">
        <v>93</v>
      </c>
      <c r="B61" s="324"/>
      <c r="C61" s="306" t="s">
        <v>91</v>
      </c>
      <c r="D61" s="168" t="s">
        <v>93</v>
      </c>
      <c r="E61" s="169">
        <f>E62+E63+E64</f>
        <v>172244710.82</v>
      </c>
      <c r="F61" s="290">
        <v>13.2</v>
      </c>
      <c r="G61" s="295"/>
      <c r="H61" s="293" t="e">
        <f>E61/#REF!</f>
        <v>#REF!</v>
      </c>
      <c r="I61" s="290">
        <v>0</v>
      </c>
      <c r="J61" s="290"/>
      <c r="K61" s="290">
        <v>13.2</v>
      </c>
      <c r="L61" s="290"/>
      <c r="M61" s="293" t="e">
        <f t="shared" si="3"/>
        <v>#DIV/0!</v>
      </c>
      <c r="N61" s="290"/>
      <c r="O61" s="293" t="e">
        <f t="shared" si="0"/>
        <v>#DIV/0!</v>
      </c>
      <c r="P61" s="326" t="e">
        <f>E61-#REF!</f>
        <v>#REF!</v>
      </c>
      <c r="Q61" s="312"/>
    </row>
    <row r="62" spans="1:17" ht="37.5" customHeight="1" outlineLevel="1" collapsed="1">
      <c r="A62" s="172" t="s">
        <v>94</v>
      </c>
      <c r="B62" s="324" t="s">
        <v>95</v>
      </c>
      <c r="C62" s="306" t="s">
        <v>96</v>
      </c>
      <c r="D62" s="168" t="s">
        <v>94</v>
      </c>
      <c r="E62" s="169">
        <f>E63+E64+E65</f>
        <v>95317580.9</v>
      </c>
      <c r="F62" s="290">
        <v>31</v>
      </c>
      <c r="G62" s="295">
        <f>F62-E62</f>
        <v>-95317549.9</v>
      </c>
      <c r="H62" s="293">
        <f aca="true" t="shared" si="10" ref="H62:H72">F62/E62</f>
        <v>3.2522856441901157E-07</v>
      </c>
      <c r="I62" s="290">
        <f>I63+I64+I65</f>
        <v>75916097.63</v>
      </c>
      <c r="J62" s="290">
        <f>J63+J64+J65</f>
        <v>3543302</v>
      </c>
      <c r="K62" s="290">
        <v>16</v>
      </c>
      <c r="L62" s="290">
        <f>K62-J62</f>
        <v>-3543286</v>
      </c>
      <c r="M62" s="293">
        <f t="shared" si="3"/>
        <v>-0.7964545638200462</v>
      </c>
      <c r="N62" s="290">
        <f>N63+N64+N65</f>
        <v>-72613158.02000001</v>
      </c>
      <c r="O62" s="293">
        <f t="shared" si="0"/>
        <v>2.1075898919331743E-07</v>
      </c>
      <c r="P62" s="326">
        <f aca="true" t="shared" si="11" ref="P62:P72">K62-F62</f>
        <v>-15</v>
      </c>
      <c r="Q62" s="313" t="s">
        <v>267</v>
      </c>
    </row>
    <row r="63" spans="1:17" ht="30" hidden="1" outlineLevel="2">
      <c r="A63" s="172" t="s">
        <v>97</v>
      </c>
      <c r="B63" s="324" t="s">
        <v>98</v>
      </c>
      <c r="C63" s="306" t="s">
        <v>99</v>
      </c>
      <c r="D63" s="168" t="s">
        <v>97</v>
      </c>
      <c r="E63" s="169">
        <v>14947482.35</v>
      </c>
      <c r="F63" s="290">
        <v>1282769.72</v>
      </c>
      <c r="G63" s="295">
        <f>F63-E63</f>
        <v>-13664712.629999999</v>
      </c>
      <c r="H63" s="293">
        <f t="shared" si="10"/>
        <v>0.08581844687710904</v>
      </c>
      <c r="I63" s="290">
        <v>11900000</v>
      </c>
      <c r="J63" s="290">
        <v>80000</v>
      </c>
      <c r="K63" s="290">
        <f>1402793.66+1400+26906.16+2710.46</f>
        <v>1433810.2799999998</v>
      </c>
      <c r="L63" s="290">
        <f>K63-J63</f>
        <v>1353810.2799999998</v>
      </c>
      <c r="M63" s="293">
        <f t="shared" si="3"/>
        <v>-0.8708562208527031</v>
      </c>
      <c r="N63" s="290">
        <f>K63-I63</f>
        <v>-10466189.72</v>
      </c>
      <c r="O63" s="293">
        <f t="shared" si="0"/>
        <v>0.1204882588235294</v>
      </c>
      <c r="P63" s="326">
        <f t="shared" si="11"/>
        <v>151040.55999999982</v>
      </c>
      <c r="Q63" s="315"/>
    </row>
    <row r="64" spans="1:17" s="272" customFormat="1" ht="42" customHeight="1" outlineLevel="4">
      <c r="A64" s="269" t="s">
        <v>100</v>
      </c>
      <c r="B64" s="327"/>
      <c r="C64" s="307" t="s">
        <v>276</v>
      </c>
      <c r="D64" s="270" t="s">
        <v>100</v>
      </c>
      <c r="E64" s="271">
        <v>61979647.57</v>
      </c>
      <c r="F64" s="296">
        <v>28.5</v>
      </c>
      <c r="G64" s="297">
        <f>F64-E64</f>
        <v>-61979619.07</v>
      </c>
      <c r="H64" s="298">
        <f t="shared" si="10"/>
        <v>4.598283649130469E-07</v>
      </c>
      <c r="I64" s="296">
        <v>47016097.63</v>
      </c>
      <c r="J64" s="296">
        <v>3011857</v>
      </c>
      <c r="K64" s="296">
        <v>12.3</v>
      </c>
      <c r="L64" s="296">
        <f>K64-J64</f>
        <v>-3011844.7</v>
      </c>
      <c r="M64" s="298">
        <f t="shared" si="3"/>
        <v>-0.758573517157307</v>
      </c>
      <c r="N64" s="296">
        <f>K64-I64</f>
        <v>-47016085.330000006</v>
      </c>
      <c r="O64" s="298">
        <f t="shared" si="0"/>
        <v>2.61612524646274E-07</v>
      </c>
      <c r="P64" s="328">
        <f t="shared" si="11"/>
        <v>-16.2</v>
      </c>
      <c r="Q64" s="316"/>
    </row>
    <row r="65" spans="1:17" ht="56.25" customHeight="1" hidden="1" outlineLevel="4">
      <c r="A65" s="172" t="s">
        <v>103</v>
      </c>
      <c r="B65" s="324" t="s">
        <v>104</v>
      </c>
      <c r="C65" s="306" t="s">
        <v>105</v>
      </c>
      <c r="D65" s="168" t="s">
        <v>103</v>
      </c>
      <c r="E65" s="169">
        <v>18390450.98</v>
      </c>
      <c r="F65" s="290">
        <v>1056495.99</v>
      </c>
      <c r="G65" s="295">
        <f>F65-E65</f>
        <v>-17333954.990000002</v>
      </c>
      <c r="H65" s="293">
        <f t="shared" si="10"/>
        <v>0.05744807406566383</v>
      </c>
      <c r="I65" s="290">
        <v>17000000</v>
      </c>
      <c r="J65" s="290">
        <v>451445</v>
      </c>
      <c r="K65" s="290">
        <f>1834144.92+462+31169.11+3341</f>
        <v>1869117.03</v>
      </c>
      <c r="L65" s="290">
        <f>K65-J65</f>
        <v>1417672.03</v>
      </c>
      <c r="M65" s="293">
        <f t="shared" si="3"/>
        <v>-0.9807340569308816</v>
      </c>
      <c r="N65" s="290">
        <f>K65-I65</f>
        <v>-15130882.97</v>
      </c>
      <c r="O65" s="293">
        <f t="shared" si="0"/>
        <v>0.1099480605882353</v>
      </c>
      <c r="P65" s="326">
        <f t="shared" si="11"/>
        <v>812621.04</v>
      </c>
      <c r="Q65" s="315"/>
    </row>
    <row r="66" spans="1:17" ht="38.25" customHeight="1" outlineLevel="1" collapsed="1" thickBot="1">
      <c r="A66" s="172" t="s">
        <v>106</v>
      </c>
      <c r="B66" s="324" t="s">
        <v>107</v>
      </c>
      <c r="C66" s="306" t="s">
        <v>108</v>
      </c>
      <c r="D66" s="168" t="s">
        <v>106</v>
      </c>
      <c r="E66" s="169">
        <f>E67+E72</f>
        <v>10536108.33</v>
      </c>
      <c r="F66" s="290">
        <v>4.2</v>
      </c>
      <c r="G66" s="295">
        <f>G67+G72</f>
        <v>-7015250.970000001</v>
      </c>
      <c r="H66" s="293">
        <f t="shared" si="10"/>
        <v>3.986291587417648E-07</v>
      </c>
      <c r="I66" s="290">
        <f>I67+I72</f>
        <v>11535000</v>
      </c>
      <c r="J66" s="290">
        <f>J67+J72</f>
        <v>605206</v>
      </c>
      <c r="K66" s="290">
        <v>4.1</v>
      </c>
      <c r="L66" s="290">
        <f>K66-J66</f>
        <v>-605201.9</v>
      </c>
      <c r="M66" s="293">
        <f t="shared" si="3"/>
        <v>-1.644274745027404</v>
      </c>
      <c r="N66" s="290">
        <f>N67+N72</f>
        <v>-8272288.6899999995</v>
      </c>
      <c r="O66" s="293">
        <f t="shared" si="0"/>
        <v>3.554399653229302E-07</v>
      </c>
      <c r="P66" s="326">
        <f t="shared" si="11"/>
        <v>-0.10000000000000053</v>
      </c>
      <c r="Q66" s="312"/>
    </row>
    <row r="67" spans="1:17" ht="91.5" customHeight="1" hidden="1" outlineLevel="2">
      <c r="A67" s="172" t="s">
        <v>109</v>
      </c>
      <c r="B67" s="324" t="s">
        <v>110</v>
      </c>
      <c r="C67" s="306" t="s">
        <v>111</v>
      </c>
      <c r="D67" s="168" t="s">
        <v>109</v>
      </c>
      <c r="E67" s="169">
        <v>10431108.33</v>
      </c>
      <c r="F67" s="250">
        <v>3490857.36</v>
      </c>
      <c r="G67" s="252">
        <f aca="true" t="shared" si="12" ref="G67:G72">F67-E67</f>
        <v>-6940250.970000001</v>
      </c>
      <c r="H67" s="251">
        <f t="shared" si="10"/>
        <v>0.3346583363495756</v>
      </c>
      <c r="I67" s="250">
        <v>11500000</v>
      </c>
      <c r="J67" s="250">
        <v>605206</v>
      </c>
      <c r="K67" s="250">
        <f>3160101.37+24585.7+44853.75+33170.49</f>
        <v>3262711.3100000005</v>
      </c>
      <c r="L67" s="250">
        <f>K67-J67</f>
        <v>2657505.3100000005</v>
      </c>
      <c r="M67" s="251">
        <f t="shared" si="3"/>
        <v>-1.6570005969106905</v>
      </c>
      <c r="N67" s="250">
        <f aca="true" t="shared" si="13" ref="N67:N72">K67-I67</f>
        <v>-8237288.6899999995</v>
      </c>
      <c r="O67" s="251">
        <f t="shared" si="0"/>
        <v>0.28371402695652176</v>
      </c>
      <c r="P67" s="329">
        <f t="shared" si="11"/>
        <v>-228146.04999999935</v>
      </c>
      <c r="Q67" s="312"/>
    </row>
    <row r="68" spans="1:17" ht="45" customHeight="1" hidden="1" outlineLevel="3">
      <c r="A68" s="172" t="s">
        <v>112</v>
      </c>
      <c r="B68" s="324"/>
      <c r="C68" s="306" t="s">
        <v>23</v>
      </c>
      <c r="D68" s="168" t="s">
        <v>112</v>
      </c>
      <c r="E68" s="169"/>
      <c r="F68" s="250"/>
      <c r="G68" s="252">
        <f t="shared" si="12"/>
        <v>0</v>
      </c>
      <c r="H68" s="251" t="e">
        <f t="shared" si="10"/>
        <v>#DIV/0!</v>
      </c>
      <c r="I68" s="250"/>
      <c r="J68" s="250"/>
      <c r="K68" s="250"/>
      <c r="L68" s="250">
        <f>I68-G68</f>
        <v>0</v>
      </c>
      <c r="M68" s="251" t="e">
        <f t="shared" si="3"/>
        <v>#DIV/0!</v>
      </c>
      <c r="N68" s="250">
        <f t="shared" si="13"/>
        <v>0</v>
      </c>
      <c r="O68" s="251" t="e">
        <f t="shared" si="0"/>
        <v>#DIV/0!</v>
      </c>
      <c r="P68" s="329">
        <f t="shared" si="11"/>
        <v>0</v>
      </c>
      <c r="Q68" s="312"/>
    </row>
    <row r="69" spans="1:17" ht="45" customHeight="1" hidden="1" outlineLevel="4">
      <c r="A69" s="172" t="s">
        <v>113</v>
      </c>
      <c r="B69" s="324"/>
      <c r="C69" s="306" t="s">
        <v>114</v>
      </c>
      <c r="D69" s="168" t="s">
        <v>113</v>
      </c>
      <c r="E69" s="169"/>
      <c r="F69" s="250"/>
      <c r="G69" s="252">
        <f t="shared" si="12"/>
        <v>0</v>
      </c>
      <c r="H69" s="251" t="e">
        <f t="shared" si="10"/>
        <v>#DIV/0!</v>
      </c>
      <c r="I69" s="250"/>
      <c r="J69" s="250"/>
      <c r="K69" s="250"/>
      <c r="L69" s="250">
        <f>I69-G69</f>
        <v>0</v>
      </c>
      <c r="M69" s="251" t="e">
        <f t="shared" si="3"/>
        <v>#DIV/0!</v>
      </c>
      <c r="N69" s="250">
        <f t="shared" si="13"/>
        <v>0</v>
      </c>
      <c r="O69" s="251" t="e">
        <f t="shared" si="0"/>
        <v>#DIV/0!</v>
      </c>
      <c r="P69" s="329">
        <f t="shared" si="11"/>
        <v>0</v>
      </c>
      <c r="Q69" s="312"/>
    </row>
    <row r="70" spans="1:17" ht="45" customHeight="1" hidden="1" outlineLevel="5">
      <c r="A70" s="172" t="s">
        <v>113</v>
      </c>
      <c r="B70" s="324"/>
      <c r="C70" s="306" t="s">
        <v>115</v>
      </c>
      <c r="D70" s="168" t="s">
        <v>113</v>
      </c>
      <c r="E70" s="169"/>
      <c r="F70" s="250"/>
      <c r="G70" s="252">
        <f t="shared" si="12"/>
        <v>0</v>
      </c>
      <c r="H70" s="251" t="e">
        <f t="shared" si="10"/>
        <v>#DIV/0!</v>
      </c>
      <c r="I70" s="250"/>
      <c r="J70" s="250"/>
      <c r="K70" s="250"/>
      <c r="L70" s="250">
        <f>I70-G70</f>
        <v>0</v>
      </c>
      <c r="M70" s="251" t="e">
        <f t="shared" si="3"/>
        <v>#DIV/0!</v>
      </c>
      <c r="N70" s="250">
        <f t="shared" si="13"/>
        <v>0</v>
      </c>
      <c r="O70" s="251" t="e">
        <f t="shared" si="0"/>
        <v>#DIV/0!</v>
      </c>
      <c r="P70" s="329">
        <f t="shared" si="11"/>
        <v>0</v>
      </c>
      <c r="Q70" s="312"/>
    </row>
    <row r="71" spans="1:17" ht="45" customHeight="1" hidden="1" outlineLevel="5">
      <c r="A71" s="172" t="s">
        <v>116</v>
      </c>
      <c r="B71" s="324"/>
      <c r="C71" s="306" t="s">
        <v>117</v>
      </c>
      <c r="D71" s="168" t="s">
        <v>116</v>
      </c>
      <c r="E71" s="169"/>
      <c r="F71" s="250"/>
      <c r="G71" s="252">
        <f t="shared" si="12"/>
        <v>0</v>
      </c>
      <c r="H71" s="251" t="e">
        <f t="shared" si="10"/>
        <v>#DIV/0!</v>
      </c>
      <c r="I71" s="250"/>
      <c r="J71" s="250"/>
      <c r="K71" s="250"/>
      <c r="L71" s="250">
        <f>I71-G71</f>
        <v>0</v>
      </c>
      <c r="M71" s="251" t="e">
        <f t="shared" si="3"/>
        <v>#DIV/0!</v>
      </c>
      <c r="N71" s="250">
        <f t="shared" si="13"/>
        <v>0</v>
      </c>
      <c r="O71" s="251" t="e">
        <f t="shared" si="0"/>
        <v>#DIV/0!</v>
      </c>
      <c r="P71" s="329">
        <f t="shared" si="11"/>
        <v>0</v>
      </c>
      <c r="Q71" s="312"/>
    </row>
    <row r="72" spans="1:17" ht="78.75" customHeight="1" hidden="1" outlineLevel="2" collapsed="1">
      <c r="A72" s="172" t="s">
        <v>118</v>
      </c>
      <c r="B72" s="324" t="s">
        <v>119</v>
      </c>
      <c r="C72" s="306" t="s">
        <v>120</v>
      </c>
      <c r="D72" s="168" t="s">
        <v>118</v>
      </c>
      <c r="E72" s="170">
        <v>105000</v>
      </c>
      <c r="F72" s="252">
        <v>30000</v>
      </c>
      <c r="G72" s="252">
        <f t="shared" si="12"/>
        <v>-75000</v>
      </c>
      <c r="H72" s="251">
        <f t="shared" si="10"/>
        <v>0.2857142857142857</v>
      </c>
      <c r="I72" s="250">
        <v>35000</v>
      </c>
      <c r="J72" s="250"/>
      <c r="K72" s="252"/>
      <c r="L72" s="250">
        <f>K72-J72</f>
        <v>0</v>
      </c>
      <c r="M72" s="251">
        <f t="shared" si="3"/>
        <v>-0.4666666666666667</v>
      </c>
      <c r="N72" s="250">
        <f t="shared" si="13"/>
        <v>-35000</v>
      </c>
      <c r="O72" s="251">
        <f t="shared" si="0"/>
        <v>0</v>
      </c>
      <c r="P72" s="329">
        <f t="shared" si="11"/>
        <v>-30000</v>
      </c>
      <c r="Q72" s="315"/>
    </row>
    <row r="73" spans="1:17" ht="45" customHeight="1" hidden="1" outlineLevel="3">
      <c r="A73" s="172" t="s">
        <v>121</v>
      </c>
      <c r="B73" s="324"/>
      <c r="C73" s="306" t="s">
        <v>23</v>
      </c>
      <c r="D73" s="168" t="s">
        <v>121</v>
      </c>
      <c r="E73" s="169">
        <v>0</v>
      </c>
      <c r="F73" s="250">
        <v>0</v>
      </c>
      <c r="G73" s="252"/>
      <c r="H73" s="251" t="e">
        <f>E73/#REF!</f>
        <v>#REF!</v>
      </c>
      <c r="I73" s="250">
        <v>60000</v>
      </c>
      <c r="J73" s="250"/>
      <c r="K73" s="250">
        <v>0</v>
      </c>
      <c r="L73" s="250"/>
      <c r="M73" s="251" t="e">
        <f t="shared" si="3"/>
        <v>#DIV/0!</v>
      </c>
      <c r="N73" s="250"/>
      <c r="O73" s="251">
        <f t="shared" si="0"/>
        <v>0</v>
      </c>
      <c r="P73" s="329" t="e">
        <f>E73-#REF!</f>
        <v>#REF!</v>
      </c>
      <c r="Q73" s="312"/>
    </row>
    <row r="74" spans="1:17" ht="45" customHeight="1" hidden="1" outlineLevel="4">
      <c r="A74" s="172" t="s">
        <v>122</v>
      </c>
      <c r="B74" s="324"/>
      <c r="C74" s="306" t="s">
        <v>123</v>
      </c>
      <c r="D74" s="168" t="s">
        <v>122</v>
      </c>
      <c r="E74" s="169">
        <v>0</v>
      </c>
      <c r="F74" s="250">
        <v>0</v>
      </c>
      <c r="G74" s="252"/>
      <c r="H74" s="251" t="e">
        <f>E74/#REF!</f>
        <v>#REF!</v>
      </c>
      <c r="I74" s="250">
        <v>60000</v>
      </c>
      <c r="J74" s="250"/>
      <c r="K74" s="250">
        <v>0</v>
      </c>
      <c r="L74" s="250"/>
      <c r="M74" s="251" t="e">
        <f t="shared" si="3"/>
        <v>#DIV/0!</v>
      </c>
      <c r="N74" s="250"/>
      <c r="O74" s="251">
        <f t="shared" si="0"/>
        <v>0</v>
      </c>
      <c r="P74" s="329" t="e">
        <f>E74-#REF!</f>
        <v>#REF!</v>
      </c>
      <c r="Q74" s="312"/>
    </row>
    <row r="75" spans="1:17" ht="45" customHeight="1" hidden="1" outlineLevel="5">
      <c r="A75" s="172" t="s">
        <v>122</v>
      </c>
      <c r="B75" s="324"/>
      <c r="C75" s="306" t="s">
        <v>124</v>
      </c>
      <c r="D75" s="168" t="s">
        <v>122</v>
      </c>
      <c r="E75" s="169">
        <v>-23389.69</v>
      </c>
      <c r="F75" s="250">
        <v>0</v>
      </c>
      <c r="G75" s="252"/>
      <c r="H75" s="251" t="e">
        <f>E75/#REF!</f>
        <v>#REF!</v>
      </c>
      <c r="I75" s="250">
        <v>60000</v>
      </c>
      <c r="J75" s="250"/>
      <c r="K75" s="250">
        <v>0</v>
      </c>
      <c r="L75" s="250"/>
      <c r="M75" s="251" t="e">
        <f t="shared" si="3"/>
        <v>#DIV/0!</v>
      </c>
      <c r="N75" s="250"/>
      <c r="O75" s="251">
        <f t="shared" si="0"/>
        <v>0</v>
      </c>
      <c r="P75" s="329" t="e">
        <f>E75-#REF!</f>
        <v>#REF!</v>
      </c>
      <c r="Q75" s="312"/>
    </row>
    <row r="76" spans="1:17" ht="83.25" customHeight="1" hidden="1" outlineLevel="1" collapsed="1">
      <c r="A76" s="172" t="s">
        <v>125</v>
      </c>
      <c r="B76" s="324" t="s">
        <v>126</v>
      </c>
      <c r="C76" s="306" t="s">
        <v>127</v>
      </c>
      <c r="D76" s="168" t="s">
        <v>125</v>
      </c>
      <c r="E76" s="169">
        <v>-23389.69</v>
      </c>
      <c r="F76" s="250">
        <v>3014.2</v>
      </c>
      <c r="G76" s="252">
        <f>F76-E76</f>
        <v>26403.89</v>
      </c>
      <c r="H76" s="251">
        <f>F76/E76</f>
        <v>-0.12886874516079522</v>
      </c>
      <c r="I76" s="250"/>
      <c r="J76" s="250"/>
      <c r="K76" s="250">
        <v>942.29</v>
      </c>
      <c r="L76" s="250">
        <f>K76-J76</f>
        <v>942.29</v>
      </c>
      <c r="M76" s="251"/>
      <c r="N76" s="250"/>
      <c r="O76" s="251"/>
      <c r="P76" s="329">
        <f>K76-F76</f>
        <v>-2071.91</v>
      </c>
      <c r="Q76" s="312"/>
    </row>
    <row r="77" spans="1:17" ht="45" customHeight="1" hidden="1" outlineLevel="3">
      <c r="A77" s="172" t="s">
        <v>128</v>
      </c>
      <c r="B77" s="324"/>
      <c r="C77" s="306" t="s">
        <v>23</v>
      </c>
      <c r="D77" s="168" t="s">
        <v>128</v>
      </c>
      <c r="E77" s="169">
        <v>78.92</v>
      </c>
      <c r="F77" s="250">
        <v>78.92</v>
      </c>
      <c r="G77" s="252"/>
      <c r="H77" s="251" t="e">
        <f>E77/#REF!</f>
        <v>#REF!</v>
      </c>
      <c r="I77" s="250">
        <v>0</v>
      </c>
      <c r="J77" s="250"/>
      <c r="K77" s="250">
        <v>78.92</v>
      </c>
      <c r="L77" s="250"/>
      <c r="M77" s="251" t="e">
        <f>I77/G77</f>
        <v>#DIV/0!</v>
      </c>
      <c r="N77" s="250"/>
      <c r="O77" s="251" t="e">
        <f t="shared" si="0"/>
        <v>#DIV/0!</v>
      </c>
      <c r="P77" s="329" t="e">
        <f>E77-#REF!</f>
        <v>#REF!</v>
      </c>
      <c r="Q77" s="312"/>
    </row>
    <row r="78" spans="1:17" ht="45" customHeight="1" hidden="1" outlineLevel="4">
      <c r="A78" s="172" t="s">
        <v>129</v>
      </c>
      <c r="B78" s="324"/>
      <c r="C78" s="306" t="s">
        <v>130</v>
      </c>
      <c r="D78" s="168" t="s">
        <v>129</v>
      </c>
      <c r="E78" s="169">
        <v>78.92</v>
      </c>
      <c r="F78" s="250">
        <v>78.92</v>
      </c>
      <c r="G78" s="252"/>
      <c r="H78" s="251" t="e">
        <f>E78/#REF!</f>
        <v>#REF!</v>
      </c>
      <c r="I78" s="250">
        <v>0</v>
      </c>
      <c r="J78" s="250"/>
      <c r="K78" s="250">
        <v>78.92</v>
      </c>
      <c r="L78" s="250"/>
      <c r="M78" s="251" t="e">
        <f>I78/G78</f>
        <v>#DIV/0!</v>
      </c>
      <c r="N78" s="250"/>
      <c r="O78" s="251" t="e">
        <f t="shared" si="0"/>
        <v>#DIV/0!</v>
      </c>
      <c r="P78" s="329" t="e">
        <f>E78-#REF!</f>
        <v>#REF!</v>
      </c>
      <c r="Q78" s="312"/>
    </row>
    <row r="79" spans="1:17" ht="45" customHeight="1" hidden="1" outlineLevel="5">
      <c r="A79" s="172" t="s">
        <v>131</v>
      </c>
      <c r="B79" s="330"/>
      <c r="C79" s="308" t="s">
        <v>132</v>
      </c>
      <c r="D79" s="180" t="s">
        <v>131</v>
      </c>
      <c r="E79" s="181">
        <f>E80+E89+E105+E108+E111+E112</f>
        <v>106887173.90000002</v>
      </c>
      <c r="F79" s="256">
        <v>78.92</v>
      </c>
      <c r="G79" s="257"/>
      <c r="H79" s="258" t="e">
        <f>E79/#REF!</f>
        <v>#REF!</v>
      </c>
      <c r="I79" s="256">
        <v>0</v>
      </c>
      <c r="J79" s="256"/>
      <c r="K79" s="256">
        <v>78.92</v>
      </c>
      <c r="L79" s="256"/>
      <c r="M79" s="258" t="e">
        <f>I79/G79</f>
        <v>#DIV/0!</v>
      </c>
      <c r="N79" s="256"/>
      <c r="O79" s="258" t="e">
        <f>K79/I79</f>
        <v>#DIV/0!</v>
      </c>
      <c r="P79" s="331" t="e">
        <f>E79-#REF!</f>
        <v>#REF!</v>
      </c>
      <c r="Q79" s="312"/>
    </row>
    <row r="80" spans="1:17" s="254" customFormat="1" ht="39" customHeight="1" outlineLevel="5" thickBot="1">
      <c r="A80" s="253"/>
      <c r="B80" s="301" t="s">
        <v>133</v>
      </c>
      <c r="C80" s="302" t="s">
        <v>279</v>
      </c>
      <c r="D80" s="260"/>
      <c r="E80" s="261">
        <f>E81+E90+E106+E109+E112+E113</f>
        <v>73494552.89</v>
      </c>
      <c r="F80" s="262">
        <v>26.4</v>
      </c>
      <c r="G80" s="262">
        <f>G81+G90+G106+G109+G112+G113</f>
        <v>-52023864.65</v>
      </c>
      <c r="H80" s="262">
        <f>F80/E80</f>
        <v>3.5921029466650583E-07</v>
      </c>
      <c r="I80" s="262">
        <f>I81+I90+I106+I109+I112+I113</f>
        <v>61350184.11</v>
      </c>
      <c r="J80" s="262">
        <f>J81+J90+J106+J109+J112+J113</f>
        <v>2230316.48</v>
      </c>
      <c r="K80" s="262">
        <f>68.5-3.2-18.4</f>
        <v>46.9</v>
      </c>
      <c r="L80" s="262">
        <f>K80-J80</f>
        <v>-2230269.58</v>
      </c>
      <c r="M80" s="262" t="e">
        <f>M81+M90+M106+M109+M112+M113</f>
        <v>#DIV/0!</v>
      </c>
      <c r="N80" s="262">
        <f>N81+N90+N106+N109+N112+N113</f>
        <v>-37852407.91</v>
      </c>
      <c r="O80" s="263">
        <f aca="true" t="shared" si="14" ref="O80:O127">K80/I80</f>
        <v>7.644638835298191E-07</v>
      </c>
      <c r="P80" s="264">
        <f>K80-F80</f>
        <v>20.5</v>
      </c>
      <c r="Q80" s="255"/>
    </row>
    <row r="81" spans="1:17" ht="61.5" customHeight="1" outlineLevel="1">
      <c r="A81" s="172" t="s">
        <v>135</v>
      </c>
      <c r="B81" s="321" t="s">
        <v>136</v>
      </c>
      <c r="C81" s="305" t="s">
        <v>290</v>
      </c>
      <c r="D81" s="192" t="s">
        <v>135</v>
      </c>
      <c r="E81" s="193">
        <f>E82+E83+E84+E85+E89</f>
        <v>37416244.75</v>
      </c>
      <c r="F81" s="248">
        <v>12.4</v>
      </c>
      <c r="G81" s="259">
        <f>G82+G83+G85+G89</f>
        <v>-27350627.259999998</v>
      </c>
      <c r="H81" s="249">
        <f>F81/E81</f>
        <v>3.314068550398821E-07</v>
      </c>
      <c r="I81" s="248">
        <f>I82+I83+I84+I85+I89</f>
        <v>26290475.19</v>
      </c>
      <c r="J81" s="248">
        <f>J82+J83+J84+J85+J89</f>
        <v>859800</v>
      </c>
      <c r="K81" s="248">
        <v>10.3</v>
      </c>
      <c r="L81" s="248">
        <f>K81-J81</f>
        <v>-859789.7</v>
      </c>
      <c r="M81" s="249">
        <f>I81/G81</f>
        <v>-0.9612384732561341</v>
      </c>
      <c r="N81" s="248">
        <f>N82+N83+N84+N85+N89</f>
        <v>-17627526.57</v>
      </c>
      <c r="O81" s="249">
        <f t="shared" si="14"/>
        <v>3.917768669285129E-07</v>
      </c>
      <c r="P81" s="332">
        <f>K81-F81</f>
        <v>-2.0999999999999996</v>
      </c>
      <c r="Q81" s="312"/>
    </row>
    <row r="82" spans="1:17" ht="47.25" customHeight="1" hidden="1" outlineLevel="4">
      <c r="A82" s="172" t="s">
        <v>138</v>
      </c>
      <c r="B82" s="324" t="s">
        <v>139</v>
      </c>
      <c r="C82" s="306" t="s">
        <v>140</v>
      </c>
      <c r="D82" s="168" t="s">
        <v>138</v>
      </c>
      <c r="E82" s="169">
        <v>24363527.29</v>
      </c>
      <c r="F82" s="250">
        <v>4787239.41</v>
      </c>
      <c r="G82" s="252">
        <f>F82-E82</f>
        <v>-19576287.88</v>
      </c>
      <c r="H82" s="251">
        <f>F82/E82</f>
        <v>0.19649204948927576</v>
      </c>
      <c r="I82" s="250">
        <v>15000000</v>
      </c>
      <c r="J82" s="250">
        <v>350000</v>
      </c>
      <c r="K82" s="250">
        <f>4116186.7+264361.92+6513.27</f>
        <v>4387061.89</v>
      </c>
      <c r="L82" s="250">
        <f>K82-J82</f>
        <v>4037061.8899999997</v>
      </c>
      <c r="M82" s="251">
        <f>I82/G82</f>
        <v>-0.7662331128326256</v>
      </c>
      <c r="N82" s="250">
        <f>K82-I82</f>
        <v>-10612938.11</v>
      </c>
      <c r="O82" s="251">
        <f t="shared" si="14"/>
        <v>0.29247079266666665</v>
      </c>
      <c r="P82" s="329">
        <f>K82-F82</f>
        <v>-400177.5200000005</v>
      </c>
      <c r="Q82" s="315" t="s">
        <v>268</v>
      </c>
    </row>
    <row r="83" spans="1:17" ht="47.25" customHeight="1" hidden="1" outlineLevel="4">
      <c r="A83" s="172" t="s">
        <v>141</v>
      </c>
      <c r="B83" s="324" t="s">
        <v>142</v>
      </c>
      <c r="C83" s="306" t="s">
        <v>143</v>
      </c>
      <c r="D83" s="168" t="s">
        <v>141</v>
      </c>
      <c r="E83" s="169">
        <v>977974.72</v>
      </c>
      <c r="F83" s="250">
        <v>316570.81</v>
      </c>
      <c r="G83" s="252">
        <f aca="true" t="shared" si="15" ref="G83:G89">F83-E83</f>
        <v>-661403.9099999999</v>
      </c>
      <c r="H83" s="251">
        <f aca="true" t="shared" si="16" ref="H83:H89">F83/E83</f>
        <v>0.323700401989941</v>
      </c>
      <c r="I83" s="250">
        <v>987235.05</v>
      </c>
      <c r="J83" s="250">
        <v>109800</v>
      </c>
      <c r="K83" s="250">
        <v>361646.44</v>
      </c>
      <c r="L83" s="250">
        <f aca="true" t="shared" si="17" ref="L83:L89">K83-J83</f>
        <v>251846.44</v>
      </c>
      <c r="M83" s="251">
        <f>I83/G83</f>
        <v>-1.4926356422658587</v>
      </c>
      <c r="N83" s="250">
        <f aca="true" t="shared" si="18" ref="N83:N89">K83-I83</f>
        <v>-625588.6100000001</v>
      </c>
      <c r="O83" s="251">
        <f t="shared" si="14"/>
        <v>0.36632252876354016</v>
      </c>
      <c r="P83" s="329">
        <f aca="true" t="shared" si="19" ref="P83:P89">K83-F83</f>
        <v>45075.630000000005</v>
      </c>
      <c r="Q83" s="315"/>
    </row>
    <row r="84" spans="1:17" ht="47.25" customHeight="1" hidden="1" outlineLevel="4">
      <c r="A84" s="172"/>
      <c r="B84" s="324" t="s">
        <v>144</v>
      </c>
      <c r="C84" s="306" t="s">
        <v>145</v>
      </c>
      <c r="D84" s="168" t="s">
        <v>146</v>
      </c>
      <c r="E84" s="169">
        <v>58480.28</v>
      </c>
      <c r="F84" s="250">
        <v>29240.14</v>
      </c>
      <c r="G84" s="252">
        <f t="shared" si="15"/>
        <v>-29240.14</v>
      </c>
      <c r="H84" s="251">
        <f t="shared" si="16"/>
        <v>0.5</v>
      </c>
      <c r="I84" s="250">
        <v>29240.14</v>
      </c>
      <c r="J84" s="250"/>
      <c r="K84" s="250">
        <v>27691.96</v>
      </c>
      <c r="L84" s="250">
        <f t="shared" si="17"/>
        <v>27691.96</v>
      </c>
      <c r="M84" s="251"/>
      <c r="N84" s="250">
        <f t="shared" si="18"/>
        <v>-1548.1800000000003</v>
      </c>
      <c r="O84" s="251"/>
      <c r="P84" s="329"/>
      <c r="Q84" s="317" t="s">
        <v>147</v>
      </c>
    </row>
    <row r="85" spans="1:17" ht="47.25" customHeight="1" hidden="1" outlineLevel="2">
      <c r="A85" s="172" t="s">
        <v>148</v>
      </c>
      <c r="B85" s="324" t="s">
        <v>149</v>
      </c>
      <c r="C85" s="306" t="s">
        <v>150</v>
      </c>
      <c r="D85" s="168" t="s">
        <v>148</v>
      </c>
      <c r="E85" s="170">
        <v>5843542.64</v>
      </c>
      <c r="F85" s="252">
        <v>2796000</v>
      </c>
      <c r="G85" s="252">
        <f t="shared" si="15"/>
        <v>-3047542.6399999997</v>
      </c>
      <c r="H85" s="251">
        <f t="shared" si="16"/>
        <v>0.47847687135213585</v>
      </c>
      <c r="I85" s="250">
        <v>4966000</v>
      </c>
      <c r="J85" s="250"/>
      <c r="K85" s="252">
        <v>2072500</v>
      </c>
      <c r="L85" s="250">
        <f t="shared" si="17"/>
        <v>2072500</v>
      </c>
      <c r="M85" s="251">
        <f aca="true" t="shared" si="20" ref="M85:M112">I85/G85</f>
        <v>-1.6295096038426555</v>
      </c>
      <c r="N85" s="250">
        <f t="shared" si="18"/>
        <v>-2893500</v>
      </c>
      <c r="O85" s="251">
        <f t="shared" si="14"/>
        <v>0.41733789770438984</v>
      </c>
      <c r="P85" s="329">
        <f t="shared" si="19"/>
        <v>-723500</v>
      </c>
      <c r="Q85" s="315" t="s">
        <v>257</v>
      </c>
    </row>
    <row r="86" spans="1:17" ht="45" customHeight="1" hidden="1" outlineLevel="3">
      <c r="A86" s="172" t="s">
        <v>151</v>
      </c>
      <c r="B86" s="324"/>
      <c r="C86" s="306" t="s">
        <v>23</v>
      </c>
      <c r="D86" s="168" t="s">
        <v>151</v>
      </c>
      <c r="E86" s="169"/>
      <c r="F86" s="250"/>
      <c r="G86" s="252">
        <f t="shared" si="15"/>
        <v>0</v>
      </c>
      <c r="H86" s="251" t="e">
        <f t="shared" si="16"/>
        <v>#DIV/0!</v>
      </c>
      <c r="I86" s="250"/>
      <c r="J86" s="250"/>
      <c r="K86" s="250"/>
      <c r="L86" s="250">
        <f t="shared" si="17"/>
        <v>0</v>
      </c>
      <c r="M86" s="251" t="e">
        <f t="shared" si="20"/>
        <v>#DIV/0!</v>
      </c>
      <c r="N86" s="250">
        <f t="shared" si="18"/>
        <v>0</v>
      </c>
      <c r="O86" s="251" t="e">
        <f t="shared" si="14"/>
        <v>#DIV/0!</v>
      </c>
      <c r="P86" s="329">
        <f t="shared" si="19"/>
        <v>0</v>
      </c>
      <c r="Q86" s="312"/>
    </row>
    <row r="87" spans="1:17" ht="45" customHeight="1" hidden="1" outlineLevel="4">
      <c r="A87" s="172" t="s">
        <v>152</v>
      </c>
      <c r="B87" s="324"/>
      <c r="C87" s="306" t="s">
        <v>153</v>
      </c>
      <c r="D87" s="168" t="s">
        <v>152</v>
      </c>
      <c r="E87" s="169"/>
      <c r="F87" s="250"/>
      <c r="G87" s="252">
        <f t="shared" si="15"/>
        <v>0</v>
      </c>
      <c r="H87" s="251" t="e">
        <f t="shared" si="16"/>
        <v>#DIV/0!</v>
      </c>
      <c r="I87" s="250"/>
      <c r="J87" s="250"/>
      <c r="K87" s="250"/>
      <c r="L87" s="250">
        <f t="shared" si="17"/>
        <v>0</v>
      </c>
      <c r="M87" s="251" t="e">
        <f t="shared" si="20"/>
        <v>#DIV/0!</v>
      </c>
      <c r="N87" s="250">
        <f t="shared" si="18"/>
        <v>0</v>
      </c>
      <c r="O87" s="251" t="e">
        <f t="shared" si="14"/>
        <v>#DIV/0!</v>
      </c>
      <c r="P87" s="329">
        <f t="shared" si="19"/>
        <v>0</v>
      </c>
      <c r="Q87" s="312"/>
    </row>
    <row r="88" spans="1:17" ht="45" customHeight="1" hidden="1" outlineLevel="5">
      <c r="A88" s="172" t="s">
        <v>152</v>
      </c>
      <c r="B88" s="324"/>
      <c r="C88" s="306" t="s">
        <v>154</v>
      </c>
      <c r="D88" s="168" t="s">
        <v>152</v>
      </c>
      <c r="E88" s="169"/>
      <c r="F88" s="250"/>
      <c r="G88" s="252">
        <f t="shared" si="15"/>
        <v>0</v>
      </c>
      <c r="H88" s="251" t="e">
        <f t="shared" si="16"/>
        <v>#DIV/0!</v>
      </c>
      <c r="I88" s="250"/>
      <c r="J88" s="250"/>
      <c r="K88" s="250"/>
      <c r="L88" s="250">
        <f t="shared" si="17"/>
        <v>0</v>
      </c>
      <c r="M88" s="251" t="e">
        <f t="shared" si="20"/>
        <v>#DIV/0!</v>
      </c>
      <c r="N88" s="250">
        <f t="shared" si="18"/>
        <v>0</v>
      </c>
      <c r="O88" s="251" t="e">
        <f t="shared" si="14"/>
        <v>#DIV/0!</v>
      </c>
      <c r="P88" s="329">
        <f t="shared" si="19"/>
        <v>0</v>
      </c>
      <c r="Q88" s="312"/>
    </row>
    <row r="89" spans="1:17" ht="53.25" customHeight="1" hidden="1" outlineLevel="2" collapsed="1">
      <c r="A89" s="172" t="s">
        <v>155</v>
      </c>
      <c r="B89" s="324" t="s">
        <v>156</v>
      </c>
      <c r="C89" s="306" t="s">
        <v>157</v>
      </c>
      <c r="D89" s="168" t="s">
        <v>155</v>
      </c>
      <c r="E89" s="169">
        <v>6172719.82</v>
      </c>
      <c r="F89" s="250">
        <v>2107326.99</v>
      </c>
      <c r="G89" s="252">
        <f t="shared" si="15"/>
        <v>-4065392.83</v>
      </c>
      <c r="H89" s="251">
        <f t="shared" si="16"/>
        <v>0.34139359171497274</v>
      </c>
      <c r="I89" s="250">
        <v>5308000</v>
      </c>
      <c r="J89" s="250">
        <v>400000</v>
      </c>
      <c r="K89" s="250">
        <f>1814040.33+8</f>
        <v>1814048.33</v>
      </c>
      <c r="L89" s="250">
        <f t="shared" si="17"/>
        <v>1414048.33</v>
      </c>
      <c r="M89" s="251">
        <f t="shared" si="20"/>
        <v>-1.3056548830485344</v>
      </c>
      <c r="N89" s="250">
        <f t="shared" si="18"/>
        <v>-3493951.67</v>
      </c>
      <c r="O89" s="251">
        <f t="shared" si="14"/>
        <v>0.3417574095704597</v>
      </c>
      <c r="P89" s="329">
        <f t="shared" si="19"/>
        <v>-293278.66000000015</v>
      </c>
      <c r="Q89" s="315"/>
    </row>
    <row r="90" spans="1:17" ht="98.25" customHeight="1" hidden="1" outlineLevel="1">
      <c r="A90" s="172" t="s">
        <v>158</v>
      </c>
      <c r="B90" s="324" t="s">
        <v>159</v>
      </c>
      <c r="C90" s="306" t="s">
        <v>160</v>
      </c>
      <c r="D90" s="168" t="s">
        <v>158</v>
      </c>
      <c r="E90" s="169">
        <v>485335.25</v>
      </c>
      <c r="F90" s="250">
        <v>200111.45</v>
      </c>
      <c r="G90" s="252">
        <f>F90-E90</f>
        <v>-285223.8</v>
      </c>
      <c r="H90" s="251">
        <f>F90/E90</f>
        <v>0.41231591976886084</v>
      </c>
      <c r="I90" s="250">
        <v>231800</v>
      </c>
      <c r="J90" s="250">
        <v>0</v>
      </c>
      <c r="K90" s="250">
        <v>63226.38</v>
      </c>
      <c r="L90" s="250">
        <f>K90-J90</f>
        <v>63226.38</v>
      </c>
      <c r="M90" s="251">
        <f t="shared" si="20"/>
        <v>-0.8126951537704779</v>
      </c>
      <c r="N90" s="250">
        <f>K90-I90</f>
        <v>-168573.62</v>
      </c>
      <c r="O90" s="251">
        <f t="shared" si="14"/>
        <v>0.2727626402070751</v>
      </c>
      <c r="P90" s="329">
        <f>K90-F90</f>
        <v>-136885.07</v>
      </c>
      <c r="Q90" s="318"/>
    </row>
    <row r="91" spans="1:17" ht="45" customHeight="1" hidden="1" outlineLevel="3">
      <c r="A91" s="172" t="s">
        <v>161</v>
      </c>
      <c r="B91" s="324"/>
      <c r="C91" s="306" t="s">
        <v>23</v>
      </c>
      <c r="D91" s="168" t="s">
        <v>161</v>
      </c>
      <c r="E91" s="169">
        <v>2890.68</v>
      </c>
      <c r="F91" s="250">
        <v>2890.68</v>
      </c>
      <c r="G91" s="252"/>
      <c r="H91" s="251">
        <f aca="true" t="shared" si="21" ref="H91:H130">F91/E91</f>
        <v>1</v>
      </c>
      <c r="I91" s="250">
        <v>33800</v>
      </c>
      <c r="J91" s="250"/>
      <c r="K91" s="250">
        <v>2890.68</v>
      </c>
      <c r="L91" s="250">
        <f aca="true" t="shared" si="22" ref="L91:L120">K91-J91</f>
        <v>2890.68</v>
      </c>
      <c r="M91" s="251" t="e">
        <f t="shared" si="20"/>
        <v>#DIV/0!</v>
      </c>
      <c r="N91" s="250">
        <f aca="true" t="shared" si="23" ref="N91:N106">K91-I91</f>
        <v>-30909.32</v>
      </c>
      <c r="O91" s="251">
        <f t="shared" si="14"/>
        <v>0.08552307692307692</v>
      </c>
      <c r="P91" s="329">
        <f aca="true" t="shared" si="24" ref="P91:P130">K91-F91</f>
        <v>0</v>
      </c>
      <c r="Q91" s="312"/>
    </row>
    <row r="92" spans="1:17" ht="45" customHeight="1" hidden="1" outlineLevel="4">
      <c r="A92" s="172" t="s">
        <v>162</v>
      </c>
      <c r="B92" s="324"/>
      <c r="C92" s="306" t="s">
        <v>163</v>
      </c>
      <c r="D92" s="168" t="s">
        <v>162</v>
      </c>
      <c r="E92" s="169">
        <v>0</v>
      </c>
      <c r="F92" s="250">
        <v>2890.68</v>
      </c>
      <c r="G92" s="252"/>
      <c r="H92" s="251" t="e">
        <f t="shared" si="21"/>
        <v>#DIV/0!</v>
      </c>
      <c r="I92" s="250">
        <v>33800</v>
      </c>
      <c r="J92" s="250"/>
      <c r="K92" s="250">
        <v>2890.68</v>
      </c>
      <c r="L92" s="250">
        <f t="shared" si="22"/>
        <v>2890.68</v>
      </c>
      <c r="M92" s="251" t="e">
        <f t="shared" si="20"/>
        <v>#DIV/0!</v>
      </c>
      <c r="N92" s="250">
        <f t="shared" si="23"/>
        <v>-30909.32</v>
      </c>
      <c r="O92" s="251">
        <f t="shared" si="14"/>
        <v>0.08552307692307692</v>
      </c>
      <c r="P92" s="329">
        <f t="shared" si="24"/>
        <v>0</v>
      </c>
      <c r="Q92" s="312"/>
    </row>
    <row r="93" spans="1:17" ht="45" customHeight="1" hidden="1" outlineLevel="5">
      <c r="A93" s="172" t="s">
        <v>162</v>
      </c>
      <c r="B93" s="324"/>
      <c r="C93" s="306" t="s">
        <v>164</v>
      </c>
      <c r="D93" s="168" t="s">
        <v>162</v>
      </c>
      <c r="E93" s="169">
        <v>2890.68</v>
      </c>
      <c r="F93" s="250">
        <v>0</v>
      </c>
      <c r="G93" s="252"/>
      <c r="H93" s="251">
        <f t="shared" si="21"/>
        <v>0</v>
      </c>
      <c r="I93" s="250">
        <v>33800</v>
      </c>
      <c r="J93" s="250"/>
      <c r="K93" s="250">
        <v>0</v>
      </c>
      <c r="L93" s="250">
        <f t="shared" si="22"/>
        <v>0</v>
      </c>
      <c r="M93" s="251" t="e">
        <f t="shared" si="20"/>
        <v>#DIV/0!</v>
      </c>
      <c r="N93" s="250">
        <f t="shared" si="23"/>
        <v>-33800</v>
      </c>
      <c r="O93" s="251">
        <f t="shared" si="14"/>
        <v>0</v>
      </c>
      <c r="P93" s="329">
        <f t="shared" si="24"/>
        <v>0</v>
      </c>
      <c r="Q93" s="312"/>
    </row>
    <row r="94" spans="1:17" ht="45" customHeight="1" hidden="1" outlineLevel="5">
      <c r="A94" s="172" t="s">
        <v>165</v>
      </c>
      <c r="B94" s="324"/>
      <c r="C94" s="306" t="s">
        <v>164</v>
      </c>
      <c r="D94" s="168" t="s">
        <v>165</v>
      </c>
      <c r="E94" s="169">
        <v>53.23</v>
      </c>
      <c r="F94" s="250">
        <v>2890.68</v>
      </c>
      <c r="G94" s="252"/>
      <c r="H94" s="251">
        <f t="shared" si="21"/>
        <v>54.30546684200639</v>
      </c>
      <c r="I94" s="250">
        <v>0</v>
      </c>
      <c r="J94" s="250"/>
      <c r="K94" s="250">
        <v>2890.68</v>
      </c>
      <c r="L94" s="250">
        <f t="shared" si="22"/>
        <v>2890.68</v>
      </c>
      <c r="M94" s="251" t="e">
        <f t="shared" si="20"/>
        <v>#DIV/0!</v>
      </c>
      <c r="N94" s="250">
        <f t="shared" si="23"/>
        <v>2890.68</v>
      </c>
      <c r="O94" s="251" t="e">
        <f t="shared" si="14"/>
        <v>#DIV/0!</v>
      </c>
      <c r="P94" s="329">
        <f t="shared" si="24"/>
        <v>0</v>
      </c>
      <c r="Q94" s="312"/>
    </row>
    <row r="95" spans="1:17" ht="45" customHeight="1" hidden="1" outlineLevel="3">
      <c r="A95" s="172" t="s">
        <v>166</v>
      </c>
      <c r="B95" s="324"/>
      <c r="C95" s="306" t="s">
        <v>23</v>
      </c>
      <c r="D95" s="168" t="s">
        <v>166</v>
      </c>
      <c r="E95" s="169">
        <v>53.23</v>
      </c>
      <c r="F95" s="250">
        <v>53.23</v>
      </c>
      <c r="G95" s="252"/>
      <c r="H95" s="251">
        <f t="shared" si="21"/>
        <v>1</v>
      </c>
      <c r="I95" s="250">
        <v>0</v>
      </c>
      <c r="J95" s="250"/>
      <c r="K95" s="250">
        <v>53.23</v>
      </c>
      <c r="L95" s="250">
        <f t="shared" si="22"/>
        <v>53.23</v>
      </c>
      <c r="M95" s="251" t="e">
        <f t="shared" si="20"/>
        <v>#DIV/0!</v>
      </c>
      <c r="N95" s="250">
        <f t="shared" si="23"/>
        <v>53.23</v>
      </c>
      <c r="O95" s="251" t="e">
        <f t="shared" si="14"/>
        <v>#DIV/0!</v>
      </c>
      <c r="P95" s="329">
        <f t="shared" si="24"/>
        <v>0</v>
      </c>
      <c r="Q95" s="312"/>
    </row>
    <row r="96" spans="1:17" ht="45" customHeight="1" hidden="1" outlineLevel="4">
      <c r="A96" s="172" t="s">
        <v>167</v>
      </c>
      <c r="B96" s="324"/>
      <c r="C96" s="306" t="s">
        <v>168</v>
      </c>
      <c r="D96" s="168" t="s">
        <v>167</v>
      </c>
      <c r="E96" s="169">
        <v>53.23</v>
      </c>
      <c r="F96" s="250">
        <v>53.23</v>
      </c>
      <c r="G96" s="252"/>
      <c r="H96" s="251">
        <f t="shared" si="21"/>
        <v>1</v>
      </c>
      <c r="I96" s="250">
        <v>0</v>
      </c>
      <c r="J96" s="250"/>
      <c r="K96" s="250">
        <v>53.23</v>
      </c>
      <c r="L96" s="250">
        <f t="shared" si="22"/>
        <v>53.23</v>
      </c>
      <c r="M96" s="251" t="e">
        <f t="shared" si="20"/>
        <v>#DIV/0!</v>
      </c>
      <c r="N96" s="250">
        <f t="shared" si="23"/>
        <v>53.23</v>
      </c>
      <c r="O96" s="251" t="e">
        <f t="shared" si="14"/>
        <v>#DIV/0!</v>
      </c>
      <c r="P96" s="329">
        <f t="shared" si="24"/>
        <v>0</v>
      </c>
      <c r="Q96" s="312"/>
    </row>
    <row r="97" spans="1:17" ht="45" customHeight="1" hidden="1" outlineLevel="5">
      <c r="A97" s="172" t="s">
        <v>169</v>
      </c>
      <c r="B97" s="324"/>
      <c r="C97" s="306" t="s">
        <v>170</v>
      </c>
      <c r="D97" s="168" t="s">
        <v>169</v>
      </c>
      <c r="E97" s="169">
        <v>481.81</v>
      </c>
      <c r="F97" s="250">
        <v>53.23</v>
      </c>
      <c r="G97" s="252"/>
      <c r="H97" s="251">
        <f t="shared" si="21"/>
        <v>0.11047923455303957</v>
      </c>
      <c r="I97" s="250">
        <v>0</v>
      </c>
      <c r="J97" s="250"/>
      <c r="K97" s="250">
        <v>53.23</v>
      </c>
      <c r="L97" s="250">
        <f t="shared" si="22"/>
        <v>53.23</v>
      </c>
      <c r="M97" s="251" t="e">
        <f t="shared" si="20"/>
        <v>#DIV/0!</v>
      </c>
      <c r="N97" s="250">
        <f t="shared" si="23"/>
        <v>53.23</v>
      </c>
      <c r="O97" s="251" t="e">
        <f t="shared" si="14"/>
        <v>#DIV/0!</v>
      </c>
      <c r="P97" s="329">
        <f t="shared" si="24"/>
        <v>0</v>
      </c>
      <c r="Q97" s="312"/>
    </row>
    <row r="98" spans="1:17" ht="45" customHeight="1" hidden="1" outlineLevel="3">
      <c r="A98" s="172" t="s">
        <v>171</v>
      </c>
      <c r="B98" s="324"/>
      <c r="C98" s="306" t="s">
        <v>23</v>
      </c>
      <c r="D98" s="168" t="s">
        <v>171</v>
      </c>
      <c r="E98" s="169">
        <v>481.81</v>
      </c>
      <c r="F98" s="250">
        <v>481.81</v>
      </c>
      <c r="G98" s="252"/>
      <c r="H98" s="251">
        <f t="shared" si="21"/>
        <v>1</v>
      </c>
      <c r="I98" s="250">
        <v>59400</v>
      </c>
      <c r="J98" s="250"/>
      <c r="K98" s="250">
        <v>481.81</v>
      </c>
      <c r="L98" s="250">
        <f t="shared" si="22"/>
        <v>481.81</v>
      </c>
      <c r="M98" s="251" t="e">
        <f t="shared" si="20"/>
        <v>#DIV/0!</v>
      </c>
      <c r="N98" s="250">
        <f t="shared" si="23"/>
        <v>-58918.19</v>
      </c>
      <c r="O98" s="251">
        <f t="shared" si="14"/>
        <v>0.008111279461279462</v>
      </c>
      <c r="P98" s="329">
        <f t="shared" si="24"/>
        <v>0</v>
      </c>
      <c r="Q98" s="312"/>
    </row>
    <row r="99" spans="1:17" ht="45" customHeight="1" hidden="1" outlineLevel="4">
      <c r="A99" s="172" t="s">
        <v>172</v>
      </c>
      <c r="B99" s="324"/>
      <c r="C99" s="306" t="s">
        <v>173</v>
      </c>
      <c r="D99" s="168" t="s">
        <v>172</v>
      </c>
      <c r="E99" s="169">
        <v>0</v>
      </c>
      <c r="F99" s="250">
        <v>481.81</v>
      </c>
      <c r="G99" s="252"/>
      <c r="H99" s="251" t="e">
        <f t="shared" si="21"/>
        <v>#DIV/0!</v>
      </c>
      <c r="I99" s="250">
        <v>59400</v>
      </c>
      <c r="J99" s="250"/>
      <c r="K99" s="250">
        <v>481.81</v>
      </c>
      <c r="L99" s="250">
        <f t="shared" si="22"/>
        <v>481.81</v>
      </c>
      <c r="M99" s="251" t="e">
        <f t="shared" si="20"/>
        <v>#DIV/0!</v>
      </c>
      <c r="N99" s="250">
        <f t="shared" si="23"/>
        <v>-58918.19</v>
      </c>
      <c r="O99" s="251">
        <f t="shared" si="14"/>
        <v>0.008111279461279462</v>
      </c>
      <c r="P99" s="329">
        <f t="shared" si="24"/>
        <v>0</v>
      </c>
      <c r="Q99" s="312"/>
    </row>
    <row r="100" spans="1:17" ht="45" customHeight="1" hidden="1" outlineLevel="5">
      <c r="A100" s="172" t="s">
        <v>172</v>
      </c>
      <c r="B100" s="324"/>
      <c r="C100" s="306" t="s">
        <v>174</v>
      </c>
      <c r="D100" s="168" t="s">
        <v>172</v>
      </c>
      <c r="E100" s="169">
        <v>481.81</v>
      </c>
      <c r="F100" s="250">
        <v>0</v>
      </c>
      <c r="G100" s="252"/>
      <c r="H100" s="251">
        <f t="shared" si="21"/>
        <v>0</v>
      </c>
      <c r="I100" s="250">
        <v>59400</v>
      </c>
      <c r="J100" s="250"/>
      <c r="K100" s="250">
        <v>0</v>
      </c>
      <c r="L100" s="250">
        <f t="shared" si="22"/>
        <v>0</v>
      </c>
      <c r="M100" s="251" t="e">
        <f t="shared" si="20"/>
        <v>#DIV/0!</v>
      </c>
      <c r="N100" s="250">
        <f t="shared" si="23"/>
        <v>-59400</v>
      </c>
      <c r="O100" s="251">
        <f t="shared" si="14"/>
        <v>0</v>
      </c>
      <c r="P100" s="329">
        <f t="shared" si="24"/>
        <v>0</v>
      </c>
      <c r="Q100" s="312"/>
    </row>
    <row r="101" spans="1:17" ht="45" customHeight="1" hidden="1" outlineLevel="5">
      <c r="A101" s="172" t="s">
        <v>175</v>
      </c>
      <c r="B101" s="324"/>
      <c r="C101" s="306" t="s">
        <v>176</v>
      </c>
      <c r="D101" s="168" t="s">
        <v>175</v>
      </c>
      <c r="E101" s="169">
        <v>39261.54</v>
      </c>
      <c r="F101" s="250">
        <v>481.81</v>
      </c>
      <c r="G101" s="252"/>
      <c r="H101" s="251">
        <f t="shared" si="21"/>
        <v>0.01227180594546215</v>
      </c>
      <c r="I101" s="250">
        <v>0</v>
      </c>
      <c r="J101" s="250"/>
      <c r="K101" s="250">
        <v>481.81</v>
      </c>
      <c r="L101" s="250">
        <f t="shared" si="22"/>
        <v>481.81</v>
      </c>
      <c r="M101" s="251" t="e">
        <f t="shared" si="20"/>
        <v>#DIV/0!</v>
      </c>
      <c r="N101" s="250">
        <f t="shared" si="23"/>
        <v>481.81</v>
      </c>
      <c r="O101" s="251" t="e">
        <f t="shared" si="14"/>
        <v>#DIV/0!</v>
      </c>
      <c r="P101" s="329">
        <f t="shared" si="24"/>
        <v>0</v>
      </c>
      <c r="Q101" s="312"/>
    </row>
    <row r="102" spans="1:17" ht="45" customHeight="1" hidden="1" outlineLevel="3">
      <c r="A102" s="172" t="s">
        <v>177</v>
      </c>
      <c r="B102" s="324"/>
      <c r="C102" s="306" t="s">
        <v>23</v>
      </c>
      <c r="D102" s="168" t="s">
        <v>177</v>
      </c>
      <c r="E102" s="169">
        <v>39261.54</v>
      </c>
      <c r="F102" s="250">
        <v>39261.54</v>
      </c>
      <c r="G102" s="252"/>
      <c r="H102" s="251">
        <f t="shared" si="21"/>
        <v>1</v>
      </c>
      <c r="I102" s="250">
        <v>464900</v>
      </c>
      <c r="J102" s="250"/>
      <c r="K102" s="250">
        <v>39261.54</v>
      </c>
      <c r="L102" s="250">
        <f t="shared" si="22"/>
        <v>39261.54</v>
      </c>
      <c r="M102" s="251" t="e">
        <f t="shared" si="20"/>
        <v>#DIV/0!</v>
      </c>
      <c r="N102" s="250">
        <f t="shared" si="23"/>
        <v>-425638.46</v>
      </c>
      <c r="O102" s="251">
        <f t="shared" si="14"/>
        <v>0.0844515809851581</v>
      </c>
      <c r="P102" s="329">
        <f t="shared" si="24"/>
        <v>0</v>
      </c>
      <c r="Q102" s="312"/>
    </row>
    <row r="103" spans="1:17" ht="45" customHeight="1" hidden="1" outlineLevel="4">
      <c r="A103" s="172" t="s">
        <v>178</v>
      </c>
      <c r="B103" s="324"/>
      <c r="C103" s="306" t="s">
        <v>179</v>
      </c>
      <c r="D103" s="168" t="s">
        <v>178</v>
      </c>
      <c r="E103" s="169">
        <v>0</v>
      </c>
      <c r="F103" s="250">
        <v>39261.54</v>
      </c>
      <c r="G103" s="252"/>
      <c r="H103" s="251" t="e">
        <f t="shared" si="21"/>
        <v>#DIV/0!</v>
      </c>
      <c r="I103" s="250">
        <v>464900</v>
      </c>
      <c r="J103" s="250"/>
      <c r="K103" s="250">
        <v>39261.54</v>
      </c>
      <c r="L103" s="250">
        <f t="shared" si="22"/>
        <v>39261.54</v>
      </c>
      <c r="M103" s="251" t="e">
        <f t="shared" si="20"/>
        <v>#DIV/0!</v>
      </c>
      <c r="N103" s="250">
        <f t="shared" si="23"/>
        <v>-425638.46</v>
      </c>
      <c r="O103" s="251">
        <f t="shared" si="14"/>
        <v>0.0844515809851581</v>
      </c>
      <c r="P103" s="329">
        <f t="shared" si="24"/>
        <v>0</v>
      </c>
      <c r="Q103" s="312"/>
    </row>
    <row r="104" spans="1:17" ht="45" customHeight="1" hidden="1" outlineLevel="5">
      <c r="A104" s="172" t="s">
        <v>178</v>
      </c>
      <c r="B104" s="324"/>
      <c r="C104" s="306" t="s">
        <v>180</v>
      </c>
      <c r="D104" s="168" t="s">
        <v>178</v>
      </c>
      <c r="E104" s="169">
        <v>39261.54</v>
      </c>
      <c r="F104" s="250">
        <v>0</v>
      </c>
      <c r="G104" s="252"/>
      <c r="H104" s="251">
        <f t="shared" si="21"/>
        <v>0</v>
      </c>
      <c r="I104" s="250">
        <v>464900</v>
      </c>
      <c r="J104" s="250"/>
      <c r="K104" s="250">
        <v>0</v>
      </c>
      <c r="L104" s="250">
        <f t="shared" si="22"/>
        <v>0</v>
      </c>
      <c r="M104" s="251" t="e">
        <f t="shared" si="20"/>
        <v>#DIV/0!</v>
      </c>
      <c r="N104" s="250">
        <f t="shared" si="23"/>
        <v>-464900</v>
      </c>
      <c r="O104" s="251">
        <f t="shared" si="14"/>
        <v>0</v>
      </c>
      <c r="P104" s="329">
        <f t="shared" si="24"/>
        <v>0</v>
      </c>
      <c r="Q104" s="312"/>
    </row>
    <row r="105" spans="1:17" ht="45" customHeight="1" hidden="1" outlineLevel="5">
      <c r="A105" s="172" t="s">
        <v>181</v>
      </c>
      <c r="B105" s="324"/>
      <c r="C105" s="306" t="s">
        <v>182</v>
      </c>
      <c r="D105" s="168" t="s">
        <v>181</v>
      </c>
      <c r="E105" s="169">
        <f>E106+E107</f>
        <v>10003098.77</v>
      </c>
      <c r="F105" s="250">
        <v>39261.54</v>
      </c>
      <c r="G105" s="252"/>
      <c r="H105" s="251">
        <f t="shared" si="21"/>
        <v>0.003924937752064204</v>
      </c>
      <c r="I105" s="250">
        <v>0</v>
      </c>
      <c r="J105" s="250"/>
      <c r="K105" s="250">
        <v>39261.54</v>
      </c>
      <c r="L105" s="250">
        <f t="shared" si="22"/>
        <v>39261.54</v>
      </c>
      <c r="M105" s="251" t="e">
        <f t="shared" si="20"/>
        <v>#DIV/0!</v>
      </c>
      <c r="N105" s="250">
        <f t="shared" si="23"/>
        <v>39261.54</v>
      </c>
      <c r="O105" s="251" t="e">
        <f t="shared" si="14"/>
        <v>#DIV/0!</v>
      </c>
      <c r="P105" s="329">
        <f t="shared" si="24"/>
        <v>0</v>
      </c>
      <c r="Q105" s="312"/>
    </row>
    <row r="106" spans="1:17" ht="78.75" customHeight="1" hidden="1" outlineLevel="1" collapsed="1">
      <c r="A106" s="172" t="s">
        <v>183</v>
      </c>
      <c r="B106" s="324" t="s">
        <v>184</v>
      </c>
      <c r="C106" s="306" t="s">
        <v>185</v>
      </c>
      <c r="D106" s="168" t="s">
        <v>183</v>
      </c>
      <c r="E106" s="169">
        <f>E107+E108</f>
        <v>6949209.46</v>
      </c>
      <c r="F106" s="250">
        <f>F107+F108</f>
        <v>1051336.56</v>
      </c>
      <c r="G106" s="252">
        <f>G107+G108</f>
        <v>-5897872.9</v>
      </c>
      <c r="H106" s="251">
        <f t="shared" si="21"/>
        <v>0.15128865607685973</v>
      </c>
      <c r="I106" s="250">
        <f>I107+I108</f>
        <v>3385096.2</v>
      </c>
      <c r="J106" s="250">
        <f>J107+J108</f>
        <v>217229</v>
      </c>
      <c r="K106" s="250">
        <f>K107+K108</f>
        <v>967003.59</v>
      </c>
      <c r="L106" s="250">
        <f t="shared" si="22"/>
        <v>749774.59</v>
      </c>
      <c r="M106" s="251">
        <f t="shared" si="20"/>
        <v>-0.5739520429475514</v>
      </c>
      <c r="N106" s="250">
        <f t="shared" si="23"/>
        <v>-2418092.6100000003</v>
      </c>
      <c r="O106" s="251">
        <f t="shared" si="14"/>
        <v>0.2856650248226328</v>
      </c>
      <c r="P106" s="329">
        <f t="shared" si="24"/>
        <v>-84332.97000000009</v>
      </c>
      <c r="Q106" s="312"/>
    </row>
    <row r="107" spans="1:17" ht="62.25" customHeight="1" hidden="1" outlineLevel="2">
      <c r="A107" s="172" t="s">
        <v>186</v>
      </c>
      <c r="B107" s="324" t="s">
        <v>187</v>
      </c>
      <c r="C107" s="306" t="s">
        <v>188</v>
      </c>
      <c r="D107" s="168" t="s">
        <v>186</v>
      </c>
      <c r="E107" s="169">
        <v>3053889.31</v>
      </c>
      <c r="F107" s="250">
        <v>1036482.56</v>
      </c>
      <c r="G107" s="252">
        <f>F107-E107</f>
        <v>-2017406.75</v>
      </c>
      <c r="H107" s="251">
        <f t="shared" si="21"/>
        <v>0.33939755334485255</v>
      </c>
      <c r="I107" s="250">
        <v>3335156.7</v>
      </c>
      <c r="J107" s="250">
        <v>217229</v>
      </c>
      <c r="K107" s="250">
        <v>934950.59</v>
      </c>
      <c r="L107" s="250">
        <f t="shared" si="22"/>
        <v>717721.59</v>
      </c>
      <c r="M107" s="251">
        <f t="shared" si="20"/>
        <v>-1.6531900173328955</v>
      </c>
      <c r="N107" s="250">
        <f>K107-I107</f>
        <v>-2400206.1100000003</v>
      </c>
      <c r="O107" s="251">
        <f t="shared" si="14"/>
        <v>0.28033183268420336</v>
      </c>
      <c r="P107" s="329">
        <f t="shared" si="24"/>
        <v>-101531.97000000009</v>
      </c>
      <c r="Q107" s="318"/>
    </row>
    <row r="108" spans="1:17" ht="35.25" customHeight="1" hidden="1" outlineLevel="3">
      <c r="A108" s="172" t="s">
        <v>189</v>
      </c>
      <c r="B108" s="324" t="s">
        <v>190</v>
      </c>
      <c r="C108" s="306" t="s">
        <v>191</v>
      </c>
      <c r="D108" s="168" t="s">
        <v>192</v>
      </c>
      <c r="E108" s="170">
        <v>3895320.15</v>
      </c>
      <c r="F108" s="252">
        <v>14854</v>
      </c>
      <c r="G108" s="252">
        <f>F108-E108</f>
        <v>-3880466.15</v>
      </c>
      <c r="H108" s="251">
        <f t="shared" si="21"/>
        <v>0.0038132937545582745</v>
      </c>
      <c r="I108" s="250">
        <v>49939.5</v>
      </c>
      <c r="J108" s="250"/>
      <c r="K108" s="252">
        <v>32053</v>
      </c>
      <c r="L108" s="250">
        <f t="shared" si="22"/>
        <v>32053</v>
      </c>
      <c r="M108" s="251">
        <f t="shared" si="20"/>
        <v>-0.012869458995280761</v>
      </c>
      <c r="N108" s="250">
        <f>K108-I108</f>
        <v>-17886.5</v>
      </c>
      <c r="O108" s="251">
        <f t="shared" si="14"/>
        <v>0.6418366223129988</v>
      </c>
      <c r="P108" s="329">
        <f t="shared" si="24"/>
        <v>17199</v>
      </c>
      <c r="Q108" s="315"/>
    </row>
    <row r="109" spans="1:17" ht="39" customHeight="1" outlineLevel="1" collapsed="1">
      <c r="A109" s="172" t="s">
        <v>193</v>
      </c>
      <c r="B109" s="324" t="s">
        <v>194</v>
      </c>
      <c r="C109" s="306" t="s">
        <v>283</v>
      </c>
      <c r="D109" s="168" t="s">
        <v>193</v>
      </c>
      <c r="E109" s="169">
        <f>E110+E111</f>
        <v>19228417.560000002</v>
      </c>
      <c r="F109" s="250">
        <v>7.7</v>
      </c>
      <c r="G109" s="252">
        <f>G110+G111</f>
        <v>-12879648.9</v>
      </c>
      <c r="H109" s="251">
        <f t="shared" si="21"/>
        <v>4.004489696550983E-07</v>
      </c>
      <c r="I109" s="250">
        <f>I110+I111</f>
        <v>24221136</v>
      </c>
      <c r="J109" s="250">
        <f>J110+J111</f>
        <v>200000</v>
      </c>
      <c r="K109" s="250">
        <v>23.6</v>
      </c>
      <c r="L109" s="250">
        <f t="shared" si="22"/>
        <v>-199976.4</v>
      </c>
      <c r="M109" s="251">
        <f t="shared" si="20"/>
        <v>-1.8805742445355011</v>
      </c>
      <c r="N109" s="250">
        <f>N110+N111</f>
        <v>-13977861.86</v>
      </c>
      <c r="O109" s="251">
        <f t="shared" si="14"/>
        <v>9.74355620644713E-07</v>
      </c>
      <c r="P109" s="329">
        <f t="shared" si="24"/>
        <v>15.900000000000002</v>
      </c>
      <c r="Q109" s="312"/>
    </row>
    <row r="110" spans="1:17" ht="75.75" customHeight="1" hidden="1" outlineLevel="2">
      <c r="A110" s="172" t="s">
        <v>196</v>
      </c>
      <c r="B110" s="324" t="s">
        <v>197</v>
      </c>
      <c r="C110" s="306" t="s">
        <v>198</v>
      </c>
      <c r="D110" s="168" t="s">
        <v>196</v>
      </c>
      <c r="E110" s="169">
        <v>7574993.66</v>
      </c>
      <c r="F110" s="250">
        <v>3037000</v>
      </c>
      <c r="G110" s="252">
        <f aca="true" t="shared" si="25" ref="G110:G130">F110-E110</f>
        <v>-4537993.66</v>
      </c>
      <c r="H110" s="251">
        <f t="shared" si="21"/>
        <v>0.40092442796843214</v>
      </c>
      <c r="I110" s="250">
        <v>18286836</v>
      </c>
      <c r="J110" s="250"/>
      <c r="K110" s="250">
        <v>3124344.33</v>
      </c>
      <c r="L110" s="250">
        <f t="shared" si="22"/>
        <v>3124344.33</v>
      </c>
      <c r="M110" s="251">
        <f t="shared" si="20"/>
        <v>-4.029718278628005</v>
      </c>
      <c r="N110" s="250">
        <f>K110-I110</f>
        <v>-15162491.67</v>
      </c>
      <c r="O110" s="251">
        <f t="shared" si="14"/>
        <v>0.17085209983837554</v>
      </c>
      <c r="P110" s="329">
        <f t="shared" si="24"/>
        <v>87344.33000000007</v>
      </c>
      <c r="Q110" s="317"/>
    </row>
    <row r="111" spans="1:17" ht="36" customHeight="1" hidden="1" outlineLevel="2">
      <c r="A111" s="172" t="s">
        <v>199</v>
      </c>
      <c r="B111" s="324" t="s">
        <v>200</v>
      </c>
      <c r="C111" s="306" t="s">
        <v>201</v>
      </c>
      <c r="D111" s="168" t="s">
        <v>199</v>
      </c>
      <c r="E111" s="169">
        <v>11653423.9</v>
      </c>
      <c r="F111" s="250">
        <v>3311768.66</v>
      </c>
      <c r="G111" s="252">
        <f t="shared" si="25"/>
        <v>-8341655.24</v>
      </c>
      <c r="H111" s="251">
        <f t="shared" si="21"/>
        <v>0.2841884658465054</v>
      </c>
      <c r="I111" s="250">
        <v>5934300</v>
      </c>
      <c r="J111" s="250">
        <v>200000</v>
      </c>
      <c r="K111" s="250">
        <v>7118929.81</v>
      </c>
      <c r="L111" s="250">
        <f t="shared" si="22"/>
        <v>6918929.81</v>
      </c>
      <c r="M111" s="251">
        <f t="shared" si="20"/>
        <v>-0.7114055699094081</v>
      </c>
      <c r="N111" s="250">
        <f>K111-I111</f>
        <v>1184629.8099999996</v>
      </c>
      <c r="O111" s="251">
        <f t="shared" si="14"/>
        <v>1.1996241865089394</v>
      </c>
      <c r="P111" s="329">
        <f t="shared" si="24"/>
        <v>3807161.1499999994</v>
      </c>
      <c r="Q111" s="315"/>
    </row>
    <row r="112" spans="1:17" ht="51.75" customHeight="1" outlineLevel="1" collapsed="1" thickBot="1">
      <c r="A112" s="172" t="s">
        <v>202</v>
      </c>
      <c r="B112" s="333" t="s">
        <v>203</v>
      </c>
      <c r="C112" s="334" t="s">
        <v>281</v>
      </c>
      <c r="D112" s="335" t="s">
        <v>202</v>
      </c>
      <c r="E112" s="336">
        <v>1668058.37</v>
      </c>
      <c r="F112" s="337">
        <v>0.7</v>
      </c>
      <c r="G112" s="338">
        <f t="shared" si="25"/>
        <v>-1668057.6700000002</v>
      </c>
      <c r="H112" s="339">
        <f t="shared" si="21"/>
        <v>4.1964958336559885E-07</v>
      </c>
      <c r="I112" s="337">
        <v>216894.64</v>
      </c>
      <c r="J112" s="337">
        <v>35150</v>
      </c>
      <c r="K112" s="337">
        <f>24.3-23.3</f>
        <v>1</v>
      </c>
      <c r="L112" s="337">
        <f t="shared" si="22"/>
        <v>-35149</v>
      </c>
      <c r="M112" s="339">
        <f t="shared" si="20"/>
        <v>-0.1300282621523511</v>
      </c>
      <c r="N112" s="337">
        <f>K112-I112</f>
        <v>-216893.64</v>
      </c>
      <c r="O112" s="339">
        <f t="shared" si="14"/>
        <v>4.610533482985102E-06</v>
      </c>
      <c r="P112" s="340">
        <f t="shared" si="24"/>
        <v>0.30000000000000004</v>
      </c>
      <c r="Q112" s="318" t="s">
        <v>258</v>
      </c>
    </row>
    <row r="113" spans="1:17" ht="45.75" customHeight="1" hidden="1" outlineLevel="1">
      <c r="A113" s="172" t="s">
        <v>205</v>
      </c>
      <c r="B113" s="211" t="s">
        <v>206</v>
      </c>
      <c r="C113" s="191" t="s">
        <v>280</v>
      </c>
      <c r="D113" s="192" t="s">
        <v>205</v>
      </c>
      <c r="E113" s="193">
        <f>E114+E115+E116+E117+E118+E119+E120</f>
        <v>7747287.5</v>
      </c>
      <c r="F113" s="248">
        <v>3.7</v>
      </c>
      <c r="G113" s="259">
        <f>G114+G115+G116+G117+G118+G119</f>
        <v>-3942434.1199999996</v>
      </c>
      <c r="H113" s="249">
        <f t="shared" si="21"/>
        <v>4.775865101172507E-07</v>
      </c>
      <c r="I113" s="248">
        <f>I114+I115+I116+I117+I118+I119+I120</f>
        <v>7004782.08</v>
      </c>
      <c r="J113" s="248">
        <f>J114+J115+J116+J117+J118+J119+J120</f>
        <v>918137.48</v>
      </c>
      <c r="K113" s="248">
        <v>3.6</v>
      </c>
      <c r="L113" s="248">
        <f>L114+L115+L116+L117+L118+L119+L120</f>
        <v>2643184.99</v>
      </c>
      <c r="M113" s="248" t="e">
        <f>M114+M115+M116+M117+M118+M119+M120</f>
        <v>#DIV/0!</v>
      </c>
      <c r="N113" s="248">
        <f>N114+N115+N116+N117+N118+N119+N120</f>
        <v>-3443459.6099999994</v>
      </c>
      <c r="O113" s="249">
        <f t="shared" si="14"/>
        <v>5.139346176490904E-07</v>
      </c>
      <c r="P113" s="248">
        <f t="shared" si="24"/>
        <v>-0.10000000000000009</v>
      </c>
      <c r="Q113" s="175"/>
    </row>
    <row r="114" spans="1:17" ht="72" customHeight="1" hidden="1" outlineLevel="1">
      <c r="A114" s="172"/>
      <c r="B114" s="173" t="s">
        <v>208</v>
      </c>
      <c r="C114" s="167" t="s">
        <v>209</v>
      </c>
      <c r="D114" s="168" t="s">
        <v>210</v>
      </c>
      <c r="E114" s="176">
        <v>0</v>
      </c>
      <c r="F114" s="169"/>
      <c r="G114" s="170"/>
      <c r="H114" s="171"/>
      <c r="I114" s="169"/>
      <c r="J114" s="169"/>
      <c r="K114" s="169"/>
      <c r="L114" s="169">
        <f t="shared" si="22"/>
        <v>0</v>
      </c>
      <c r="M114" s="171"/>
      <c r="N114" s="169">
        <f aca="true" t="shared" si="26" ref="N114:N120">K114-I114</f>
        <v>0</v>
      </c>
      <c r="O114" s="171"/>
      <c r="P114" s="169">
        <f t="shared" si="24"/>
        <v>0</v>
      </c>
      <c r="Q114" s="177"/>
    </row>
    <row r="115" spans="1:17" ht="94.5" customHeight="1" hidden="1" outlineLevel="5">
      <c r="A115" s="172" t="s">
        <v>211</v>
      </c>
      <c r="B115" s="173" t="s">
        <v>212</v>
      </c>
      <c r="C115" s="167" t="s">
        <v>213</v>
      </c>
      <c r="D115" s="168" t="s">
        <v>211</v>
      </c>
      <c r="E115" s="169">
        <v>898909.4</v>
      </c>
      <c r="F115" s="169">
        <v>220559.6</v>
      </c>
      <c r="G115" s="170">
        <f t="shared" si="25"/>
        <v>-678349.8</v>
      </c>
      <c r="H115" s="171">
        <f t="shared" si="21"/>
        <v>0.24536354831755014</v>
      </c>
      <c r="I115" s="169">
        <v>936864.56</v>
      </c>
      <c r="J115" s="169"/>
      <c r="K115" s="169">
        <v>370929.6</v>
      </c>
      <c r="L115" s="169">
        <f t="shared" si="22"/>
        <v>370929.6</v>
      </c>
      <c r="M115" s="171">
        <f>I115/G115</f>
        <v>-1.381093589177737</v>
      </c>
      <c r="N115" s="169">
        <f t="shared" si="26"/>
        <v>-565934.9600000001</v>
      </c>
      <c r="O115" s="171">
        <f t="shared" si="14"/>
        <v>0.39592660010535563</v>
      </c>
      <c r="P115" s="169">
        <f t="shared" si="24"/>
        <v>150369.99999999997</v>
      </c>
      <c r="Q115" s="174" t="s">
        <v>259</v>
      </c>
    </row>
    <row r="116" spans="1:17" ht="61.5" customHeight="1" hidden="1" outlineLevel="5">
      <c r="A116" s="172" t="s">
        <v>214</v>
      </c>
      <c r="B116" s="173" t="s">
        <v>215</v>
      </c>
      <c r="C116" s="167" t="s">
        <v>216</v>
      </c>
      <c r="D116" s="168" t="s">
        <v>214</v>
      </c>
      <c r="E116" s="169">
        <v>91219.38</v>
      </c>
      <c r="F116" s="169">
        <v>17992.12</v>
      </c>
      <c r="G116" s="170">
        <f t="shared" si="25"/>
        <v>-73227.26000000001</v>
      </c>
      <c r="H116" s="171">
        <f t="shared" si="21"/>
        <v>0.19724010402175501</v>
      </c>
      <c r="I116" s="169">
        <v>33077</v>
      </c>
      <c r="J116" s="169">
        <v>4255</v>
      </c>
      <c r="K116" s="169"/>
      <c r="L116" s="169">
        <f t="shared" si="22"/>
        <v>-4255</v>
      </c>
      <c r="M116" s="171">
        <f>I116/G116</f>
        <v>-0.45170336839040537</v>
      </c>
      <c r="N116" s="169">
        <f t="shared" si="26"/>
        <v>-33077</v>
      </c>
      <c r="O116" s="171">
        <f t="shared" si="14"/>
        <v>0</v>
      </c>
      <c r="P116" s="169">
        <f t="shared" si="24"/>
        <v>-17992.12</v>
      </c>
      <c r="Q116" s="174"/>
    </row>
    <row r="117" spans="1:17" ht="79.5" customHeight="1" hidden="1" outlineLevel="5">
      <c r="A117" s="172" t="s">
        <v>217</v>
      </c>
      <c r="B117" s="173" t="s">
        <v>218</v>
      </c>
      <c r="C117" s="167" t="s">
        <v>219</v>
      </c>
      <c r="D117" s="168" t="s">
        <v>217</v>
      </c>
      <c r="E117" s="169">
        <v>0</v>
      </c>
      <c r="F117" s="169"/>
      <c r="G117" s="170">
        <f t="shared" si="25"/>
        <v>0</v>
      </c>
      <c r="H117" s="171"/>
      <c r="I117" s="169"/>
      <c r="J117" s="169"/>
      <c r="K117" s="169"/>
      <c r="L117" s="169">
        <f t="shared" si="22"/>
        <v>0</v>
      </c>
      <c r="M117" s="171"/>
      <c r="N117" s="169">
        <f t="shared" si="26"/>
        <v>0</v>
      </c>
      <c r="O117" s="171"/>
      <c r="P117" s="169">
        <f t="shared" si="24"/>
        <v>0</v>
      </c>
      <c r="Q117" s="174"/>
    </row>
    <row r="118" spans="1:17" ht="45" customHeight="1" hidden="1" outlineLevel="5">
      <c r="A118" s="172" t="s">
        <v>220</v>
      </c>
      <c r="B118" s="173"/>
      <c r="C118" s="167" t="s">
        <v>221</v>
      </c>
      <c r="D118" s="168" t="s">
        <v>220</v>
      </c>
      <c r="E118" s="169"/>
      <c r="F118" s="169"/>
      <c r="G118" s="170">
        <f t="shared" si="25"/>
        <v>0</v>
      </c>
      <c r="H118" s="171" t="e">
        <f t="shared" si="21"/>
        <v>#DIV/0!</v>
      </c>
      <c r="I118" s="169"/>
      <c r="J118" s="169"/>
      <c r="K118" s="169"/>
      <c r="L118" s="169">
        <f t="shared" si="22"/>
        <v>0</v>
      </c>
      <c r="M118" s="171" t="e">
        <f aca="true" t="shared" si="27" ref="M118:M127">I118/G118</f>
        <v>#DIV/0!</v>
      </c>
      <c r="N118" s="169">
        <f t="shared" si="26"/>
        <v>0</v>
      </c>
      <c r="O118" s="171" t="e">
        <f t="shared" si="14"/>
        <v>#DIV/0!</v>
      </c>
      <c r="P118" s="169">
        <f t="shared" si="24"/>
        <v>0</v>
      </c>
      <c r="Q118" s="174" t="s">
        <v>222</v>
      </c>
    </row>
    <row r="119" spans="1:17" ht="117" customHeight="1" hidden="1" outlineLevel="5">
      <c r="A119" s="172" t="s">
        <v>223</v>
      </c>
      <c r="B119" s="178" t="s">
        <v>224</v>
      </c>
      <c r="C119" s="179" t="s">
        <v>225</v>
      </c>
      <c r="D119" s="180" t="s">
        <v>223</v>
      </c>
      <c r="E119" s="181">
        <v>5165454.72</v>
      </c>
      <c r="F119" s="181">
        <v>1974597.66</v>
      </c>
      <c r="G119" s="182">
        <f t="shared" si="25"/>
        <v>-3190857.0599999996</v>
      </c>
      <c r="H119" s="183">
        <f t="shared" si="21"/>
        <v>0.3822698614227713</v>
      </c>
      <c r="I119" s="181">
        <v>4745840.52</v>
      </c>
      <c r="J119" s="181">
        <v>913882.48</v>
      </c>
      <c r="K119" s="181">
        <f>1847069.51+54323.36</f>
        <v>1901392.87</v>
      </c>
      <c r="L119" s="181">
        <f t="shared" si="22"/>
        <v>987510.3900000001</v>
      </c>
      <c r="M119" s="183">
        <f t="shared" si="27"/>
        <v>-1.4873247001543843</v>
      </c>
      <c r="N119" s="181">
        <f t="shared" si="26"/>
        <v>-2844447.6499999994</v>
      </c>
      <c r="O119" s="183">
        <f t="shared" si="14"/>
        <v>0.400644071790259</v>
      </c>
      <c r="P119" s="181">
        <f t="shared" si="24"/>
        <v>-73204.7899999998</v>
      </c>
      <c r="Q119" s="184"/>
    </row>
    <row r="120" spans="1:17" ht="47.25" customHeight="1" hidden="1" outlineLevel="5" thickBot="1">
      <c r="A120" s="172"/>
      <c r="B120" s="173" t="s">
        <v>226</v>
      </c>
      <c r="C120" s="185" t="s">
        <v>227</v>
      </c>
      <c r="D120" s="186"/>
      <c r="E120" s="187">
        <v>1591704</v>
      </c>
      <c r="F120" s="187">
        <v>1526308</v>
      </c>
      <c r="G120" s="188">
        <f t="shared" si="25"/>
        <v>-65396</v>
      </c>
      <c r="H120" s="189">
        <f t="shared" si="21"/>
        <v>0.9589144715349085</v>
      </c>
      <c r="I120" s="187">
        <v>1289000</v>
      </c>
      <c r="J120" s="187"/>
      <c r="K120" s="187">
        <v>1289000</v>
      </c>
      <c r="L120" s="181">
        <f t="shared" si="22"/>
        <v>1289000</v>
      </c>
      <c r="M120" s="189">
        <f t="shared" si="27"/>
        <v>-19.710685668848246</v>
      </c>
      <c r="N120" s="181">
        <f t="shared" si="26"/>
        <v>0</v>
      </c>
      <c r="O120" s="189"/>
      <c r="P120" s="181">
        <f t="shared" si="24"/>
        <v>-237308</v>
      </c>
      <c r="Q120" s="190" t="s">
        <v>269</v>
      </c>
    </row>
    <row r="121" spans="1:17" ht="31.5" customHeight="1" hidden="1" thickBot="1">
      <c r="A121" s="172" t="s">
        <v>228</v>
      </c>
      <c r="B121" s="173" t="s">
        <v>226</v>
      </c>
      <c r="C121" s="215" t="s">
        <v>229</v>
      </c>
      <c r="D121" s="216" t="s">
        <v>228</v>
      </c>
      <c r="E121" s="217">
        <f>E122+E126+E127+E128+E129+E130</f>
        <v>3087425772.07</v>
      </c>
      <c r="F121" s="217">
        <f>F122+F126+F127+F128+F129+F130</f>
        <v>422571781.40999997</v>
      </c>
      <c r="G121" s="218">
        <f t="shared" si="25"/>
        <v>-2664853990.6600003</v>
      </c>
      <c r="H121" s="219">
        <f t="shared" si="21"/>
        <v>0.13686864482143707</v>
      </c>
      <c r="I121" s="217">
        <f>I122+I126+I127+I128+I129+I130</f>
        <v>2563683295.13</v>
      </c>
      <c r="J121" s="220" t="s">
        <v>230</v>
      </c>
      <c r="K121" s="217">
        <f>K122+K126+K127+K128+K129+K130</f>
        <v>546674864.62</v>
      </c>
      <c r="L121" s="220" t="s">
        <v>230</v>
      </c>
      <c r="M121" s="219">
        <f t="shared" si="27"/>
        <v>-0.9620351824585543</v>
      </c>
      <c r="N121" s="217">
        <f>N122+N126+N127+N130</f>
        <v>-1911564296.81</v>
      </c>
      <c r="O121" s="219">
        <f t="shared" si="14"/>
        <v>0.2132380648024931</v>
      </c>
      <c r="P121" s="217">
        <f t="shared" si="24"/>
        <v>124103083.21000004</v>
      </c>
      <c r="Q121" s="221"/>
    </row>
    <row r="122" spans="1:17" ht="39.75" customHeight="1" hidden="1" outlineLevel="2">
      <c r="A122" s="172" t="s">
        <v>231</v>
      </c>
      <c r="B122" s="173" t="s">
        <v>232</v>
      </c>
      <c r="C122" s="191" t="s">
        <v>233</v>
      </c>
      <c r="D122" s="192" t="s">
        <v>231</v>
      </c>
      <c r="E122" s="193">
        <v>473098326.55</v>
      </c>
      <c r="F122" s="193">
        <v>146548690.77</v>
      </c>
      <c r="G122" s="194">
        <f t="shared" si="25"/>
        <v>-326549635.78</v>
      </c>
      <c r="H122" s="195">
        <f t="shared" si="21"/>
        <v>0.3097637056522368</v>
      </c>
      <c r="I122" s="193">
        <v>497698288.62</v>
      </c>
      <c r="J122" s="196" t="s">
        <v>230</v>
      </c>
      <c r="K122" s="193">
        <v>165899432.62</v>
      </c>
      <c r="L122" s="196" t="s">
        <v>230</v>
      </c>
      <c r="M122" s="195">
        <f t="shared" si="27"/>
        <v>-1.5241122147669603</v>
      </c>
      <c r="N122" s="181">
        <f aca="true" t="shared" si="28" ref="N122:N129">K122-I122</f>
        <v>-331798856</v>
      </c>
      <c r="O122" s="195">
        <f t="shared" si="14"/>
        <v>0.3333333395218216</v>
      </c>
      <c r="P122" s="193">
        <f t="shared" si="24"/>
        <v>19350741.849999994</v>
      </c>
      <c r="Q122" s="197"/>
    </row>
    <row r="123" spans="1:17" ht="45" customHeight="1" hidden="1" outlineLevel="3">
      <c r="A123" s="172" t="s">
        <v>234</v>
      </c>
      <c r="B123" s="173"/>
      <c r="C123" s="167" t="s">
        <v>235</v>
      </c>
      <c r="D123" s="168" t="s">
        <v>234</v>
      </c>
      <c r="E123" s="169"/>
      <c r="F123" s="169"/>
      <c r="G123" s="194">
        <f t="shared" si="25"/>
        <v>0</v>
      </c>
      <c r="H123" s="195" t="e">
        <f t="shared" si="21"/>
        <v>#DIV/0!</v>
      </c>
      <c r="I123" s="169"/>
      <c r="J123" s="169"/>
      <c r="K123" s="169"/>
      <c r="L123" s="169"/>
      <c r="M123" s="195" t="e">
        <f t="shared" si="27"/>
        <v>#DIV/0!</v>
      </c>
      <c r="N123" s="181">
        <f t="shared" si="28"/>
        <v>0</v>
      </c>
      <c r="O123" s="195" t="e">
        <f t="shared" si="14"/>
        <v>#DIV/0!</v>
      </c>
      <c r="P123" s="193">
        <f t="shared" si="24"/>
        <v>0</v>
      </c>
      <c r="Q123" s="198"/>
    </row>
    <row r="124" spans="1:17" ht="45" customHeight="1" hidden="1" outlineLevel="4">
      <c r="A124" s="172" t="s">
        <v>236</v>
      </c>
      <c r="B124" s="173"/>
      <c r="C124" s="167" t="s">
        <v>237</v>
      </c>
      <c r="D124" s="168" t="s">
        <v>236</v>
      </c>
      <c r="E124" s="169"/>
      <c r="F124" s="169"/>
      <c r="G124" s="194">
        <f t="shared" si="25"/>
        <v>0</v>
      </c>
      <c r="H124" s="195" t="e">
        <f t="shared" si="21"/>
        <v>#DIV/0!</v>
      </c>
      <c r="I124" s="169"/>
      <c r="J124" s="169"/>
      <c r="K124" s="169"/>
      <c r="L124" s="169"/>
      <c r="M124" s="195" t="e">
        <f t="shared" si="27"/>
        <v>#DIV/0!</v>
      </c>
      <c r="N124" s="181">
        <f t="shared" si="28"/>
        <v>0</v>
      </c>
      <c r="O124" s="195" t="e">
        <f t="shared" si="14"/>
        <v>#DIV/0!</v>
      </c>
      <c r="P124" s="193">
        <f t="shared" si="24"/>
        <v>0</v>
      </c>
      <c r="Q124" s="198"/>
    </row>
    <row r="125" spans="1:17" ht="45" customHeight="1" hidden="1" outlineLevel="5">
      <c r="A125" s="172" t="s">
        <v>236</v>
      </c>
      <c r="B125" s="173"/>
      <c r="C125" s="167" t="s">
        <v>238</v>
      </c>
      <c r="D125" s="168" t="s">
        <v>236</v>
      </c>
      <c r="E125" s="169"/>
      <c r="F125" s="169"/>
      <c r="G125" s="194">
        <f t="shared" si="25"/>
        <v>0</v>
      </c>
      <c r="H125" s="195" t="e">
        <f t="shared" si="21"/>
        <v>#DIV/0!</v>
      </c>
      <c r="I125" s="169"/>
      <c r="J125" s="169"/>
      <c r="K125" s="169"/>
      <c r="L125" s="169"/>
      <c r="M125" s="195" t="e">
        <f t="shared" si="27"/>
        <v>#DIV/0!</v>
      </c>
      <c r="N125" s="181">
        <f t="shared" si="28"/>
        <v>0</v>
      </c>
      <c r="O125" s="195" t="e">
        <f t="shared" si="14"/>
        <v>#DIV/0!</v>
      </c>
      <c r="P125" s="193">
        <f t="shared" si="24"/>
        <v>0</v>
      </c>
      <c r="Q125" s="198"/>
    </row>
    <row r="126" spans="1:17" ht="21" customHeight="1" hidden="1" outlineLevel="2" collapsed="1">
      <c r="A126" s="172" t="s">
        <v>239</v>
      </c>
      <c r="B126" s="173" t="s">
        <v>240</v>
      </c>
      <c r="C126" s="167" t="s">
        <v>241</v>
      </c>
      <c r="D126" s="168" t="s">
        <v>242</v>
      </c>
      <c r="E126" s="199">
        <v>1985905932.37</v>
      </c>
      <c r="F126" s="199">
        <v>92969830.07</v>
      </c>
      <c r="G126" s="194">
        <f t="shared" si="25"/>
        <v>-1892936102.3</v>
      </c>
      <c r="H126" s="195">
        <f t="shared" si="21"/>
        <v>0.04681482065922875</v>
      </c>
      <c r="I126" s="169">
        <v>1359152528.19</v>
      </c>
      <c r="J126" s="196" t="s">
        <v>230</v>
      </c>
      <c r="K126" s="199">
        <v>147951413.94</v>
      </c>
      <c r="L126" s="196" t="s">
        <v>230</v>
      </c>
      <c r="M126" s="195">
        <f t="shared" si="27"/>
        <v>-0.7180128935882043</v>
      </c>
      <c r="N126" s="181">
        <f t="shared" si="28"/>
        <v>-1211201114.25</v>
      </c>
      <c r="O126" s="195">
        <f t="shared" si="14"/>
        <v>0.10885563678200907</v>
      </c>
      <c r="P126" s="193">
        <f t="shared" si="24"/>
        <v>54981583.870000005</v>
      </c>
      <c r="Q126" s="198"/>
    </row>
    <row r="127" spans="1:17" ht="22.5" customHeight="1" hidden="1" outlineLevel="5">
      <c r="A127" s="172" t="s">
        <v>243</v>
      </c>
      <c r="B127" s="173" t="s">
        <v>244</v>
      </c>
      <c r="C127" s="167" t="s">
        <v>245</v>
      </c>
      <c r="D127" s="168" t="s">
        <v>246</v>
      </c>
      <c r="E127" s="169">
        <v>520683169.05</v>
      </c>
      <c r="F127" s="169">
        <v>174731419.23</v>
      </c>
      <c r="G127" s="194">
        <f t="shared" si="25"/>
        <v>-345951749.82000005</v>
      </c>
      <c r="H127" s="195">
        <f t="shared" si="21"/>
        <v>0.3355810781224252</v>
      </c>
      <c r="I127" s="169">
        <v>569411761.15</v>
      </c>
      <c r="J127" s="196" t="s">
        <v>230</v>
      </c>
      <c r="K127" s="169">
        <v>200847434.59</v>
      </c>
      <c r="L127" s="196" t="s">
        <v>230</v>
      </c>
      <c r="M127" s="195">
        <f t="shared" si="27"/>
        <v>-1.6459282586264328</v>
      </c>
      <c r="N127" s="181">
        <f t="shared" si="28"/>
        <v>-368564326.55999994</v>
      </c>
      <c r="O127" s="195">
        <f t="shared" si="14"/>
        <v>0.35272793485045495</v>
      </c>
      <c r="P127" s="193">
        <f t="shared" si="24"/>
        <v>26116015.360000014</v>
      </c>
      <c r="Q127" s="198"/>
    </row>
    <row r="128" spans="1:17" ht="22.5" customHeight="1" hidden="1" outlineLevel="5">
      <c r="A128" s="172"/>
      <c r="B128" s="173" t="s">
        <v>247</v>
      </c>
      <c r="C128" s="167" t="s">
        <v>248</v>
      </c>
      <c r="D128" s="168"/>
      <c r="E128" s="169">
        <v>110208359.34</v>
      </c>
      <c r="F128" s="169">
        <v>8615171.26</v>
      </c>
      <c r="G128" s="194">
        <f t="shared" si="25"/>
        <v>-101593188.08</v>
      </c>
      <c r="H128" s="195">
        <f t="shared" si="21"/>
        <v>0.07817166784437497</v>
      </c>
      <c r="I128" s="169">
        <v>135974047.4</v>
      </c>
      <c r="J128" s="196" t="s">
        <v>230</v>
      </c>
      <c r="K128" s="169">
        <v>31039913.7</v>
      </c>
      <c r="L128" s="196" t="s">
        <v>230</v>
      </c>
      <c r="M128" s="195"/>
      <c r="N128" s="181">
        <f t="shared" si="28"/>
        <v>-104934133.7</v>
      </c>
      <c r="O128" s="195"/>
      <c r="P128" s="193">
        <f t="shared" si="24"/>
        <v>22424742.439999998</v>
      </c>
      <c r="Q128" s="198"/>
    </row>
    <row r="129" spans="1:17" ht="54" customHeight="1" hidden="1" outlineLevel="5">
      <c r="A129" s="172"/>
      <c r="B129" s="173" t="s">
        <v>249</v>
      </c>
      <c r="C129" s="167" t="s">
        <v>250</v>
      </c>
      <c r="D129" s="168"/>
      <c r="E129" s="181">
        <v>1669917.56</v>
      </c>
      <c r="F129" s="181"/>
      <c r="G129" s="194"/>
      <c r="H129" s="195"/>
      <c r="I129" s="169">
        <v>1446811.59</v>
      </c>
      <c r="J129" s="196" t="s">
        <v>230</v>
      </c>
      <c r="K129" s="181">
        <v>936811.59</v>
      </c>
      <c r="L129" s="196" t="s">
        <v>230</v>
      </c>
      <c r="M129" s="195"/>
      <c r="N129" s="181">
        <f t="shared" si="28"/>
        <v>-510000.0000000001</v>
      </c>
      <c r="O129" s="195"/>
      <c r="P129" s="193">
        <f t="shared" si="24"/>
        <v>936811.59</v>
      </c>
      <c r="Q129" s="198"/>
    </row>
    <row r="130" spans="1:17" ht="40.5" customHeight="1" hidden="1" outlineLevel="1">
      <c r="A130" s="172" t="s">
        <v>251</v>
      </c>
      <c r="B130" s="173" t="s">
        <v>252</v>
      </c>
      <c r="C130" s="167" t="s">
        <v>253</v>
      </c>
      <c r="D130" s="168" t="s">
        <v>251</v>
      </c>
      <c r="E130" s="181">
        <v>-4139932.8</v>
      </c>
      <c r="F130" s="181">
        <v>-293329.92</v>
      </c>
      <c r="G130" s="194">
        <f t="shared" si="25"/>
        <v>3846602.88</v>
      </c>
      <c r="H130" s="195">
        <f t="shared" si="21"/>
        <v>0.0708537877716276</v>
      </c>
      <c r="I130" s="169">
        <v>-141.82</v>
      </c>
      <c r="J130" s="196" t="s">
        <v>230</v>
      </c>
      <c r="K130" s="181">
        <v>-141.82</v>
      </c>
      <c r="L130" s="196" t="s">
        <v>230</v>
      </c>
      <c r="M130" s="171"/>
      <c r="N130" s="181">
        <f>K130-I130</f>
        <v>0</v>
      </c>
      <c r="O130" s="171"/>
      <c r="P130" s="193">
        <f t="shared" si="24"/>
        <v>293188.1</v>
      </c>
      <c r="Q130" s="198"/>
    </row>
    <row r="131" spans="1:17" ht="23.25" customHeight="1" hidden="1">
      <c r="A131" s="553" t="s">
        <v>254</v>
      </c>
      <c r="B131" s="554"/>
      <c r="C131" s="555"/>
      <c r="D131" s="556"/>
      <c r="E131" s="222">
        <f>E121+E11</f>
        <v>3513539007.31</v>
      </c>
      <c r="F131" s="222">
        <f>F121+F11</f>
        <v>422571929.51</v>
      </c>
      <c r="G131" s="223">
        <f>F131-E131</f>
        <v>-3090967077.8</v>
      </c>
      <c r="H131" s="224">
        <f>F131/E131</f>
        <v>0.120269599577756</v>
      </c>
      <c r="I131" s="225">
        <f>I121+I11</f>
        <v>2945678046.87</v>
      </c>
      <c r="J131" s="196" t="s">
        <v>230</v>
      </c>
      <c r="K131" s="222">
        <f>K121+K11</f>
        <v>546675018.82</v>
      </c>
      <c r="L131" s="196" t="s">
        <v>230</v>
      </c>
      <c r="M131" s="224">
        <f>I131/G131</f>
        <v>-0.9529956071116067</v>
      </c>
      <c r="N131" s="222">
        <f>N121+N11</f>
        <v>-2293558894.35</v>
      </c>
      <c r="O131" s="224">
        <f>K131/I131</f>
        <v>0.18558546118130004</v>
      </c>
      <c r="P131" s="181">
        <f>K131-F131</f>
        <v>124103089.31000006</v>
      </c>
      <c r="Q131" s="226"/>
    </row>
    <row r="132" spans="1:17" ht="24.75" customHeight="1" hidden="1">
      <c r="A132" s="200"/>
      <c r="B132" s="201">
        <v>46</v>
      </c>
      <c r="C132" s="227" t="s">
        <v>255</v>
      </c>
      <c r="D132" s="202"/>
      <c r="E132" s="203">
        <v>39027</v>
      </c>
      <c r="F132" s="203">
        <v>540</v>
      </c>
      <c r="G132" s="204"/>
      <c r="H132" s="224"/>
      <c r="I132" s="205"/>
      <c r="J132" s="205"/>
      <c r="K132" s="203">
        <v>-8441.91</v>
      </c>
      <c r="L132" s="205"/>
      <c r="M132" s="224"/>
      <c r="N132" s="203"/>
      <c r="O132" s="224"/>
      <c r="P132" s="206"/>
      <c r="Q132" s="207"/>
    </row>
    <row r="133" spans="1:17" ht="26.25" customHeight="1" hidden="1" thickBot="1">
      <c r="A133" s="228"/>
      <c r="B133" s="229"/>
      <c r="C133" s="229"/>
      <c r="D133" s="229"/>
      <c r="E133" s="230">
        <f>E131++E132</f>
        <v>3513578034.31</v>
      </c>
      <c r="F133" s="230">
        <f>F131++F132</f>
        <v>422572469.51</v>
      </c>
      <c r="G133" s="231">
        <f>F133-E133</f>
        <v>-3091005564.8</v>
      </c>
      <c r="H133" s="232">
        <f>F133/E133</f>
        <v>0.12026841737499228</v>
      </c>
      <c r="I133" s="233">
        <f>I131++I132</f>
        <v>2945678046.87</v>
      </c>
      <c r="J133" s="234" t="s">
        <v>230</v>
      </c>
      <c r="K133" s="230">
        <f>K131++K132</f>
        <v>546666576.9100001</v>
      </c>
      <c r="L133" s="235" t="s">
        <v>230</v>
      </c>
      <c r="M133" s="232">
        <f>I133/G133</f>
        <v>-0.952983741088993</v>
      </c>
      <c r="N133" s="230">
        <f>N131++N132</f>
        <v>-2293558894.35</v>
      </c>
      <c r="O133" s="232">
        <f>K133/I133</f>
        <v>0.1855825953182065</v>
      </c>
      <c r="P133" s="231">
        <f>K133-F133</f>
        <v>124094107.4000001</v>
      </c>
      <c r="Q133" s="236"/>
    </row>
    <row r="134" ht="21">
      <c r="E134" s="208"/>
    </row>
    <row r="137" ht="21">
      <c r="E137" s="208"/>
    </row>
  </sheetData>
  <sheetProtection/>
  <mergeCells count="15">
    <mergeCell ref="A6:Q6"/>
    <mergeCell ref="A1:D1"/>
    <mergeCell ref="A2:D2"/>
    <mergeCell ref="A3:E3"/>
    <mergeCell ref="A4:Q4"/>
    <mergeCell ref="A5:D5"/>
    <mergeCell ref="Q7:Q9"/>
    <mergeCell ref="A8:A9"/>
    <mergeCell ref="A131:D131"/>
    <mergeCell ref="B7:B9"/>
    <mergeCell ref="C7:C9"/>
    <mergeCell ref="D7:D9"/>
    <mergeCell ref="E7:H9"/>
    <mergeCell ref="I7:O9"/>
    <mergeCell ref="P7:P9"/>
  </mergeCells>
  <printOptions horizontalCentered="1"/>
  <pageMargins left="0" right="0" top="0.1968503937007874" bottom="0" header="0.3937007874015748" footer="0.3937007874015748"/>
  <pageSetup blackAndWhite="1" errors="blank" fitToHeight="1" fitToWidth="1" horizontalDpi="600" verticalDpi="600" orientation="landscape" paperSize="9" scale="69" r:id="rId1"/>
  <rowBreaks count="2" manualBreakCount="2">
    <brk id="112" min="1" max="16" man="1"/>
    <brk id="113" min="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Юлия Фролова</dc:creator>
  <cp:keywords/>
  <dc:description/>
  <cp:lastModifiedBy>Игорь Парамонов</cp:lastModifiedBy>
  <cp:lastPrinted>2023-10-02T05:25:48Z</cp:lastPrinted>
  <dcterms:created xsi:type="dcterms:W3CDTF">2022-02-02T05:52:29Z</dcterms:created>
  <dcterms:modified xsi:type="dcterms:W3CDTF">2023-10-27T05:56:55Z</dcterms:modified>
  <cp:category/>
  <cp:version/>
  <cp:contentType/>
  <cp:contentStatus/>
</cp:coreProperties>
</file>