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21840" windowHeight="12705" activeTab="0"/>
  </bookViews>
  <sheets>
    <sheet name="прогноз ожидаемого испол 2020" sheetId="1" r:id="rId1"/>
  </sheets>
  <definedNames>
    <definedName name="_xlnm.Print_Titles" localSheetId="0">'прогноз ожидаемого испол 2020'!$4:$6</definedName>
    <definedName name="_xlnm.Print_Area" localSheetId="0">'прогноз ожидаемого испол 2020'!$A$1:$L$124</definedName>
  </definedNames>
  <calcPr fullCalcOnLoad="1"/>
</workbook>
</file>

<file path=xl/sharedStrings.xml><?xml version="1.0" encoding="utf-8"?>
<sst xmlns="http://schemas.openxmlformats.org/spreadsheetml/2006/main" count="181" uniqueCount="177">
  <si>
    <t>ДОХОДЫ</t>
  </si>
  <si>
    <t>Налоговые доходы</t>
  </si>
  <si>
    <t>Налог на доходы физических лиц</t>
  </si>
  <si>
    <t>Государственная пошлина</t>
  </si>
  <si>
    <t>Задолженность по отмененным налогам и сборам</t>
  </si>
  <si>
    <t>Неналоговые доходы</t>
  </si>
  <si>
    <t>Аренда земли</t>
  </si>
  <si>
    <t>Аренда имущества</t>
  </si>
  <si>
    <t>Плата за негативное воздействие на окружающую среду</t>
  </si>
  <si>
    <t>ВСЕГО доходов</t>
  </si>
  <si>
    <t>РАСХОДЫ</t>
  </si>
  <si>
    <t>Дефицит</t>
  </si>
  <si>
    <t>Доходы от продажи квартир</t>
  </si>
  <si>
    <t>Прочие поступления от использования имущества 
(найм жилых помещений)</t>
  </si>
  <si>
    <t>Исполненоза 4 месяца  к плану 
4 месяцев</t>
  </si>
  <si>
    <t>(тыс. руб.)</t>
  </si>
  <si>
    <t>Исполнено</t>
  </si>
  <si>
    <t>Возврат остатков субсидий и субвенций 
из бюджетов городских округов</t>
  </si>
  <si>
    <t>0100</t>
  </si>
  <si>
    <t>ОБЩЕГОСУДАРСТВЕННЫЕ ВОПРОСЫ</t>
  </si>
  <si>
    <t>0102</t>
  </si>
  <si>
    <t>0103</t>
  </si>
  <si>
    <t>0104</t>
  </si>
  <si>
    <t>0105</t>
  </si>
  <si>
    <t>Судебная система</t>
  </si>
  <si>
    <t>0106</t>
  </si>
  <si>
    <t>0107</t>
  </si>
  <si>
    <t>Обеспечение проведения выборов и референдумов</t>
  </si>
  <si>
    <t>0111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</si>
  <si>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</si>
  <si>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</si>
  <si>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</si>
  <si>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0300</t>
  </si>
  <si>
    <t>НАЦИОНАЛЬНАЯ БЕЗОПАСНОСТЬ И
ПРАВООХРАНИТЕЛЬНАЯ ДЕЯТЕЛЬНОСТЬ</t>
  </si>
  <si>
    <t>0302</t>
  </si>
  <si>
    <t>Органы внутренних дел</t>
  </si>
  <si>
    <t>0309</t>
  </si>
  <si>
    <t>0314</t>
  </si>
  <si>
    <t>Другие вопросы в области национальной безопасности 
и правоохранительной деятельности</t>
  </si>
  <si>
    <t>0400</t>
  </si>
  <si>
    <t>НАЦИОНАЛЬНАЯ ЭКОНОМИКА</t>
  </si>
  <si>
    <t>04 09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</si>
  <si>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</si>
  <si>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</si>
  <si>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</si>
  <si>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</si>
  <si>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</si>
  <si>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</si>
  <si>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</si>
  <si>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</si>
  <si>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</si>
  <si>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</si>
  <si>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</si>
  <si>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</si>
  <si>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</si>
  <si>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</si>
  <si>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</si>
  <si>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</si>
  <si>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</si>
  <si>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Молодёжная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</si>
  <si>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</si>
  <si>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</si>
  <si>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</si>
  <si>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</si>
  <si>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</si>
  <si>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0803</t>
  </si>
  <si>
    <t>Телевидение и радиовещание</t>
  </si>
  <si>
    <t>Другие вопросы в области культуры, кинематографии
и средств массовой информации</t>
  </si>
  <si>
    <t>0900</t>
  </si>
  <si>
    <t>0901</t>
  </si>
  <si>
    <t>Стационарная медицинская  помощь</t>
  </si>
  <si>
    <t>0902</t>
  </si>
  <si>
    <t xml:space="preserve">Амбулаторная помощь </t>
  </si>
  <si>
    <t>0903</t>
  </si>
  <si>
    <t>0904</t>
  </si>
  <si>
    <t>Скорая медицинская  помощь</t>
  </si>
  <si>
    <t>0908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</si>
  <si>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</si>
  <si>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</si>
  <si>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</si>
  <si>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</si>
  <si>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</si>
  <si>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</si>
  <si>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</si>
  <si>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</si>
  <si>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</si>
  <si>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</si>
  <si>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, материнства и детства</t>
  </si>
  <si>
    <t>1006</t>
  </si>
  <si>
    <t>Другие вопросы в области социальной политики</t>
  </si>
  <si>
    <t>ВСЕГО РАСХОДОВ</t>
  </si>
  <si>
    <t>Функционирование Правительства Российской Федерации,высших исполнительных органов  госудаственной власти субъектов Российской Федерации, местных администраций</t>
  </si>
  <si>
    <t>ЗДРАВООХРАНЕНИЕ, ФИЗИЧЕСКАЯ 
КУЛЬТУРА   И СПОРТ</t>
  </si>
  <si>
    <t>Результат исполнения бюджета (дефицит "-", профицит "+")</t>
  </si>
  <si>
    <t>Бюджетные кредиты, полученные от других бюджетов
 бюджетной системы Российской Федерации</t>
  </si>
  <si>
    <t>Бюджетные кредиты, полученные от других бюджетов
бюджетной системы Российской Федерации бюджетами
городских округов</t>
  </si>
  <si>
    <t>Бюджетные кредиты, полученные от других бюджетов
 бюджетной системы Российской Федерации
местными бюджетами</t>
  </si>
  <si>
    <t>Кредиты, полученные в валюте Российской Федерации от кредитных организаций</t>
  </si>
  <si>
    <t>I. Налоговые и неналоговые доходы доходы</t>
  </si>
  <si>
    <t>1011</t>
  </si>
  <si>
    <t>1012</t>
  </si>
  <si>
    <t>1013</t>
  </si>
  <si>
    <t>1014</t>
  </si>
  <si>
    <t>1015</t>
  </si>
  <si>
    <t>1016</t>
  </si>
  <si>
    <t>1200</t>
  </si>
  <si>
    <t>1201</t>
  </si>
  <si>
    <t>1300</t>
  </si>
  <si>
    <t>1301</t>
  </si>
  <si>
    <t>0113</t>
  </si>
  <si>
    <t xml:space="preserve">КУЛЬТУРА, КИНЕМАТОГРАФИЯ </t>
  </si>
  <si>
    <t>1100</t>
  </si>
  <si>
    <t>Средства массовой  информации</t>
  </si>
  <si>
    <t>Обслуживание государсвенного и
 муниципального долга</t>
  </si>
  <si>
    <t>0804</t>
  </si>
  <si>
    <t>0909</t>
  </si>
  <si>
    <t>1102</t>
  </si>
  <si>
    <t>1105</t>
  </si>
  <si>
    <t>Массовый спорт</t>
  </si>
  <si>
    <t>Другие вопросы в области физической
 культуры и спорта</t>
  </si>
  <si>
    <t>Медицинская помощь в дневных стационарах
 всех типов</t>
  </si>
  <si>
    <t>Прочие доходы от платных услуг (работ) и компенсации затрат бюджетов городских округов</t>
  </si>
  <si>
    <t>Другие вопросы в области здравоохранения, физической культуры  и спорта</t>
  </si>
  <si>
    <t>Средства от продажи акций и иных форм участия в капитале, находящихся в собственности городских округов</t>
  </si>
  <si>
    <t>0405</t>
  </si>
  <si>
    <t>Сельское хозяйство и рыболовство</t>
  </si>
  <si>
    <t>Другие вопросы в области жилищно - коммунального 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</si>
  <si>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</si>
  <si>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</si>
  <si>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Доходы от продажи земельных участков, находящихся в собвтенности городских округов (за исключением земельных участков муниципальных бюджетных и автономных учреждений)</t>
  </si>
  <si>
    <t>Акцизы по подакцизным товарам (продукции), производимим на территории Российской Федерации</t>
  </si>
  <si>
    <t xml:space="preserve">Прибыль от муниципальных предприятий </t>
  </si>
  <si>
    <t>Штрафы, санкции и возмещение ущерба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</si>
  <si>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</si>
  <si>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ЖИЛИЩНО - КОММУНАЛЬНОЕ
 ХОЗЯЙСТВО</t>
  </si>
  <si>
    <t xml:space="preserve">Отклонение ожидаемого исполнения 
к плану 
</t>
  </si>
  <si>
    <t>Доходы от компенсации затрат государства</t>
  </si>
  <si>
    <t>Налог на имущество физических лиц</t>
  </si>
  <si>
    <t>Земельный налог</t>
  </si>
  <si>
    <t>Доходы от реализации  имущества</t>
  </si>
  <si>
    <t>Доходы от продажи земельных участков</t>
  </si>
  <si>
    <t>Наименование показателя</t>
  </si>
  <si>
    <t xml:space="preserve"> Безвозмездные поступления </t>
  </si>
  <si>
    <t>0600</t>
  </si>
  <si>
    <t>0605</t>
  </si>
  <si>
    <t>ОХРАНА ОКРУЖАЮЩЕЙ СРЕДЫ</t>
  </si>
  <si>
    <t>Другие вопросы в области охраны окружающей среды</t>
  </si>
  <si>
    <t>0703</t>
  </si>
  <si>
    <t>Дополнительное образование детей</t>
  </si>
  <si>
    <t>0406</t>
  </si>
  <si>
    <t>Водное хозяйство</t>
  </si>
  <si>
    <t>План
2008 года
(первоначальный)</t>
  </si>
  <si>
    <t>Функционирование высшего должностного лица субъекта РФ и муниципального образования</t>
  </si>
  <si>
    <t>ЕНВД</t>
  </si>
  <si>
    <t>Единый сельскохозяйственный налог</t>
  </si>
  <si>
    <t>Патентная система налогообложения</t>
  </si>
  <si>
    <t>Прочие неналоговые доходы</t>
  </si>
  <si>
    <t xml:space="preserve">ИСТОЧНИКИ ФИНАНСИРОВАНИЯ 
 ДЕФИЦИТА БЮДЖЕТА </t>
  </si>
  <si>
    <t>Изменение остатков средств бюджетов</t>
  </si>
  <si>
    <t>Предупреждение и ликвидация последствий чрезвычайных ситуаций  природного и техногенного характера,гражданская оборона</t>
  </si>
  <si>
    <t>погашение бюджетных кредитов, полученных от других бюджетов бюджетной системы Российской 
Федерации</t>
  </si>
  <si>
    <t>Бюджетные кредиты, полученные от других бюджетов  бюджетной системы Российской Федерации</t>
  </si>
  <si>
    <t>Увеличение финансовых активов в  собственности  
городских округов за счет  средств автономных и бюджетных учреждений</t>
  </si>
  <si>
    <t>Дотации</t>
  </si>
  <si>
    <t xml:space="preserve">Субсидии </t>
  </si>
  <si>
    <t>Субвенции</t>
  </si>
  <si>
    <t>Иные межбюджетные трансферты и прочие безвозмездные поступления</t>
  </si>
  <si>
    <t>Погашение кредитов, полученных в валюте Российской Федерации от кредитных организаций</t>
  </si>
  <si>
    <t>Получение кредитов в валюте Российской Федерации от кредитных организаций бюджетами городских округов</t>
  </si>
  <si>
    <t>Оценка ожидаемого исполнения бюджета городского округа Кинешма за 2020 год</t>
  </si>
  <si>
    <t>2019 год
(исполнение)</t>
  </si>
  <si>
    <t>План 
2020 года
(уточненный)
на 01.10.2020</t>
  </si>
  <si>
    <t>на 01.10.2020</t>
  </si>
  <si>
    <t>Ожидаемое
 исполнение
 за 2020 год</t>
  </si>
  <si>
    <t>0603</t>
  </si>
  <si>
    <t>Охрана объектов растительного и животного мира и среды их обитания</t>
  </si>
  <si>
    <t>Сервитут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</si>
</sst>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%"/>
    <numFmt numFmtId="175" formatCode="0.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_ ;[Red]\-#,##0.00\ "/>
    <numFmt numFmtId="183" formatCode="#,##0.00;[Red]#,##0.00"/>
    <numFmt numFmtId="184" formatCode="#,##0.0_ ;[Red]\-#,##0.0\ "/>
    <numFmt numFmtId="185" formatCode="0.0_ ;[Red]\-0.0\ "/>
    <numFmt numFmtId="186" formatCode="#,##0.0_р_.;\-#,##0.0_р_."/>
    <numFmt numFmtId="187" formatCode="_-* #,##0.0\ _₽_-;\-* #,##0.0\ _₽_-;_-* &quot;-&quot;?\ _₽_-;_-@_-"/>
    <numFmt numFmtId="188" formatCode="#,##0.0_ ;\-#,##0.0\ "/>
    <numFmt numFmtId="189" formatCode="0.00_ ;[Red]\-0.00\ "/>
    <numFmt numFmtId="190" formatCode="#,##0.00_ ;\-#,##0.00\ "/>
    <numFmt numFmtId="191" formatCode="#,##0.00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89">
    <xf numFmtId="0" fontId="0" fillId="0" borderId="0" xfId="0" applyAlignment="1">
      <alignment/>
    </xf>
    <xf numFmtId="175" fontId="2" fillId="0" borderId="11" xfId="59" applyNumberFormat="1" applyFont="1" applyFill="1" applyBorder="1" applyAlignment="1">
      <alignment horizontal="center" vertical="center"/>
    </xf>
    <xf numFmtId="175" fontId="2" fillId="0" borderId="0" xfId="5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172" fontId="2" fillId="0" borderId="14" xfId="59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2" fontId="3" fillId="0" borderId="11" xfId="59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center" vertical="center"/>
    </xf>
    <xf numFmtId="175" fontId="3" fillId="0" borderId="0" xfId="59" applyNumberFormat="1" applyFont="1" applyFill="1" applyBorder="1" applyAlignment="1">
      <alignment horizontal="center" vertical="center"/>
    </xf>
    <xf numFmtId="172" fontId="4" fillId="0" borderId="15" xfId="59" applyNumberFormat="1" applyFont="1" applyFill="1" applyBorder="1" applyAlignment="1">
      <alignment horizontal="center"/>
    </xf>
    <xf numFmtId="172" fontId="4" fillId="0" borderId="16" xfId="59" applyNumberFormat="1" applyFont="1" applyFill="1" applyBorder="1" applyAlignment="1">
      <alignment horizontal="center"/>
    </xf>
    <xf numFmtId="172" fontId="2" fillId="0" borderId="17" xfId="59" applyNumberFormat="1" applyFont="1" applyFill="1" applyBorder="1" applyAlignment="1">
      <alignment horizontal="center"/>
    </xf>
    <xf numFmtId="172" fontId="4" fillId="0" borderId="17" xfId="59" applyNumberFormat="1" applyFont="1" applyFill="1" applyBorder="1" applyAlignment="1">
      <alignment horizontal="center"/>
    </xf>
    <xf numFmtId="172" fontId="4" fillId="0" borderId="18" xfId="59" applyNumberFormat="1" applyFont="1" applyFill="1" applyBorder="1" applyAlignment="1">
      <alignment horizontal="center"/>
    </xf>
    <xf numFmtId="172" fontId="3" fillId="0" borderId="14" xfId="59" applyNumberFormat="1" applyFont="1" applyFill="1" applyBorder="1" applyAlignment="1">
      <alignment horizontal="center"/>
    </xf>
    <xf numFmtId="172" fontId="3" fillId="0" borderId="11" xfId="59" applyNumberFormat="1" applyFont="1" applyFill="1" applyBorder="1" applyAlignment="1">
      <alignment horizontal="center"/>
    </xf>
    <xf numFmtId="172" fontId="3" fillId="0" borderId="19" xfId="59" applyNumberFormat="1" applyFont="1" applyFill="1" applyBorder="1" applyAlignment="1">
      <alignment horizontal="center"/>
    </xf>
    <xf numFmtId="188" fontId="3" fillId="0" borderId="11" xfId="59" applyNumberFormat="1" applyFont="1" applyFill="1" applyBorder="1" applyAlignment="1">
      <alignment horizontal="center"/>
    </xf>
    <xf numFmtId="172" fontId="2" fillId="0" borderId="14" xfId="59" applyNumberFormat="1" applyFont="1" applyFill="1" applyBorder="1" applyAlignment="1">
      <alignment horizontal="center"/>
    </xf>
    <xf numFmtId="172" fontId="3" fillId="0" borderId="20" xfId="5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81" fontId="2" fillId="0" borderId="11" xfId="59" applyNumberFormat="1" applyFont="1" applyFill="1" applyBorder="1" applyAlignment="1">
      <alignment horizontal="center"/>
    </xf>
    <xf numFmtId="181" fontId="2" fillId="0" borderId="16" xfId="59" applyNumberFormat="1" applyFont="1" applyFill="1" applyBorder="1" applyAlignment="1">
      <alignment horizontal="center"/>
    </xf>
    <xf numFmtId="181" fontId="3" fillId="0" borderId="11" xfId="59" applyNumberFormat="1" applyFont="1" applyFill="1" applyBorder="1" applyAlignment="1">
      <alignment horizontal="center"/>
    </xf>
    <xf numFmtId="181" fontId="3" fillId="0" borderId="16" xfId="59" applyNumberFormat="1" applyFont="1" applyFill="1" applyBorder="1" applyAlignment="1">
      <alignment horizontal="center"/>
    </xf>
    <xf numFmtId="181" fontId="50" fillId="0" borderId="11" xfId="59" applyNumberFormat="1" applyFont="1" applyFill="1" applyBorder="1" applyAlignment="1">
      <alignment horizontal="center"/>
    </xf>
    <xf numFmtId="181" fontId="51" fillId="0" borderId="11" xfId="59" applyNumberFormat="1" applyFont="1" applyFill="1" applyBorder="1" applyAlignment="1">
      <alignment horizontal="center"/>
    </xf>
    <xf numFmtId="181" fontId="52" fillId="0" borderId="11" xfId="59" applyNumberFormat="1" applyFont="1" applyFill="1" applyBorder="1" applyAlignment="1">
      <alignment horizontal="center"/>
    </xf>
    <xf numFmtId="181" fontId="2" fillId="0" borderId="20" xfId="59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3" fillId="0" borderId="20" xfId="59" applyNumberFormat="1" applyFont="1" applyFill="1" applyBorder="1" applyAlignment="1">
      <alignment horizontal="center" vertical="center" wrapText="1"/>
    </xf>
    <xf numFmtId="172" fontId="2" fillId="0" borderId="17" xfId="59" applyNumberFormat="1" applyFont="1" applyFill="1" applyBorder="1" applyAlignment="1">
      <alignment vertical="center"/>
    </xf>
    <xf numFmtId="172" fontId="3" fillId="0" borderId="21" xfId="59" applyNumberFormat="1" applyFont="1" applyFill="1" applyBorder="1" applyAlignment="1">
      <alignment vertical="center"/>
    </xf>
    <xf numFmtId="181" fontId="51" fillId="0" borderId="0" xfId="0" applyNumberFormat="1" applyFont="1" applyFill="1" applyAlignment="1">
      <alignment vertical="center"/>
    </xf>
    <xf numFmtId="172" fontId="4" fillId="0" borderId="17" xfId="59" applyNumberFormat="1" applyFont="1" applyFill="1" applyBorder="1" applyAlignment="1">
      <alignment/>
    </xf>
    <xf numFmtId="172" fontId="4" fillId="0" borderId="22" xfId="59" applyNumberFormat="1" applyFont="1" applyFill="1" applyBorder="1" applyAlignment="1">
      <alignment horizontal="center"/>
    </xf>
    <xf numFmtId="172" fontId="4" fillId="0" borderId="21" xfId="59" applyNumberFormat="1" applyFont="1" applyFill="1" applyBorder="1" applyAlignment="1">
      <alignment/>
    </xf>
    <xf numFmtId="172" fontId="3" fillId="0" borderId="23" xfId="59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3" fillId="0" borderId="15" xfId="59" applyNumberFormat="1" applyFont="1" applyFill="1" applyBorder="1" applyAlignment="1">
      <alignment horizontal="center"/>
    </xf>
    <xf numFmtId="172" fontId="3" fillId="0" borderId="21" xfId="59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2" fontId="4" fillId="0" borderId="24" xfId="59" applyNumberFormat="1" applyFont="1" applyFill="1" applyBorder="1" applyAlignment="1">
      <alignment/>
    </xf>
    <xf numFmtId="188" fontId="3" fillId="0" borderId="15" xfId="59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188" fontId="4" fillId="0" borderId="22" xfId="59" applyNumberFormat="1" applyFont="1" applyFill="1" applyBorder="1" applyAlignment="1">
      <alignment horizontal="center"/>
    </xf>
    <xf numFmtId="172" fontId="2" fillId="0" borderId="21" xfId="59" applyNumberFormat="1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left"/>
    </xf>
    <xf numFmtId="172" fontId="3" fillId="0" borderId="14" xfId="59" applyNumberFormat="1" applyFont="1" applyFill="1" applyBorder="1" applyAlignment="1">
      <alignment/>
    </xf>
    <xf numFmtId="172" fontId="3" fillId="0" borderId="25" xfId="59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2" fillId="0" borderId="11" xfId="59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7" xfId="59" applyNumberFormat="1" applyFont="1" applyFill="1" applyBorder="1" applyAlignment="1">
      <alignment/>
    </xf>
    <xf numFmtId="172" fontId="2" fillId="0" borderId="25" xfId="59" applyNumberFormat="1" applyFont="1" applyFill="1" applyBorder="1" applyAlignment="1">
      <alignment horizontal="center" vertical="center"/>
    </xf>
    <xf numFmtId="2" fontId="2" fillId="0" borderId="0" xfId="5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2" fillId="0" borderId="21" xfId="5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181" fontId="51" fillId="0" borderId="16" xfId="59" applyNumberFormat="1" applyFont="1" applyFill="1" applyBorder="1" applyAlignment="1">
      <alignment horizontal="center"/>
    </xf>
    <xf numFmtId="0" fontId="51" fillId="0" borderId="20" xfId="0" applyFont="1" applyFill="1" applyBorder="1" applyAlignment="1">
      <alignment/>
    </xf>
    <xf numFmtId="171" fontId="2" fillId="0" borderId="21" xfId="59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181" fontId="7" fillId="0" borderId="11" xfId="59" applyNumberFormat="1" applyFont="1" applyFill="1" applyBorder="1" applyAlignment="1">
      <alignment vertical="center"/>
    </xf>
    <xf numFmtId="181" fontId="7" fillId="0" borderId="16" xfId="59" applyNumberFormat="1" applyFont="1" applyFill="1" applyBorder="1" applyAlignment="1">
      <alignment vertical="center"/>
    </xf>
    <xf numFmtId="181" fontId="8" fillId="0" borderId="11" xfId="59" applyNumberFormat="1" applyFont="1" applyFill="1" applyBorder="1" applyAlignment="1">
      <alignment vertical="center" shrinkToFit="1"/>
    </xf>
    <xf numFmtId="181" fontId="8" fillId="0" borderId="11" xfId="59" applyNumberFormat="1" applyFont="1" applyFill="1" applyBorder="1" applyAlignment="1">
      <alignment vertical="center"/>
    </xf>
    <xf numFmtId="181" fontId="8" fillId="0" borderId="16" xfId="59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 shrinkToFit="1"/>
    </xf>
    <xf numFmtId="181" fontId="7" fillId="0" borderId="11" xfId="0" applyNumberFormat="1" applyFont="1" applyFill="1" applyBorder="1" applyAlignment="1">
      <alignment vertical="center" shrinkToFit="1"/>
    </xf>
    <xf numFmtId="4" fontId="7" fillId="0" borderId="11" xfId="59" applyNumberFormat="1" applyFont="1" applyFill="1" applyBorder="1" applyAlignment="1">
      <alignment vertical="center"/>
    </xf>
    <xf numFmtId="4" fontId="8" fillId="0" borderId="11" xfId="59" applyNumberFormat="1" applyFont="1" applyFill="1" applyBorder="1" applyAlignment="1">
      <alignment vertical="center" shrinkToFit="1"/>
    </xf>
    <xf numFmtId="187" fontId="3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72" fontId="3" fillId="0" borderId="19" xfId="59" applyNumberFormat="1" applyFont="1" applyFill="1" applyBorder="1" applyAlignment="1">
      <alignment/>
    </xf>
    <xf numFmtId="172" fontId="4" fillId="0" borderId="28" xfId="59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172" fontId="7" fillId="0" borderId="29" xfId="59" applyNumberFormat="1" applyFont="1" applyFill="1" applyBorder="1" applyAlignment="1">
      <alignment vertical="center"/>
    </xf>
    <xf numFmtId="172" fontId="7" fillId="0" borderId="30" xfId="59" applyNumberFormat="1" applyFont="1" applyFill="1" applyBorder="1" applyAlignment="1">
      <alignment vertical="center"/>
    </xf>
    <xf numFmtId="181" fontId="53" fillId="0" borderId="1" xfId="33" applyNumberFormat="1" applyFont="1" applyFill="1" applyBorder="1" applyAlignment="1" applyProtection="1">
      <alignment vertical="center" shrinkToFit="1"/>
      <protection/>
    </xf>
    <xf numFmtId="4" fontId="54" fillId="0" borderId="1" xfId="33" applyNumberFormat="1" applyFont="1" applyFill="1" applyBorder="1" applyAlignment="1" applyProtection="1">
      <alignment vertical="center" shrinkToFit="1"/>
      <protection/>
    </xf>
    <xf numFmtId="181" fontId="54" fillId="0" borderId="1" xfId="33" applyNumberFormat="1" applyFont="1" applyFill="1" applyBorder="1" applyAlignment="1" applyProtection="1">
      <alignment vertical="center" shrinkToFit="1"/>
      <protection/>
    </xf>
    <xf numFmtId="181" fontId="7" fillId="0" borderId="16" xfId="0" applyNumberFormat="1" applyFont="1" applyFill="1" applyBorder="1" applyAlignment="1">
      <alignment vertical="center" shrinkToFit="1"/>
    </xf>
    <xf numFmtId="181" fontId="8" fillId="0" borderId="16" xfId="0" applyNumberFormat="1" applyFont="1" applyFill="1" applyBorder="1" applyAlignment="1">
      <alignment vertical="center" shrinkToFit="1"/>
    </xf>
    <xf numFmtId="181" fontId="2" fillId="0" borderId="31" xfId="59" applyNumberFormat="1" applyFont="1" applyFill="1" applyBorder="1" applyAlignment="1">
      <alignment horizontal="center"/>
    </xf>
    <xf numFmtId="4" fontId="53" fillId="0" borderId="1" xfId="33" applyNumberFormat="1" applyFont="1" applyFill="1" applyBorder="1" applyAlignment="1" applyProtection="1">
      <alignment vertical="center" shrinkToFit="1"/>
      <protection/>
    </xf>
    <xf numFmtId="172" fontId="2" fillId="0" borderId="22" xfId="59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175" fontId="2" fillId="0" borderId="11" xfId="59" applyNumberFormat="1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5" fontId="2" fillId="0" borderId="11" xfId="59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75" fontId="3" fillId="0" borderId="11" xfId="59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2" fontId="3" fillId="0" borderId="30" xfId="59" applyNumberFormat="1" applyFont="1" applyFill="1" applyBorder="1" applyAlignment="1">
      <alignment horizontal="center" vertical="center" wrapText="1"/>
    </xf>
    <xf numFmtId="172" fontId="3" fillId="0" borderId="16" xfId="59" applyNumberFormat="1" applyFont="1" applyFill="1" applyBorder="1" applyAlignment="1">
      <alignment horizontal="center" vertical="center" wrapText="1"/>
    </xf>
    <xf numFmtId="172" fontId="3" fillId="0" borderId="31" xfId="59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5"/>
  <sheetViews>
    <sheetView tabSelected="1" view="pageBreakPreview" zoomScale="70" zoomScaleSheetLayoutView="70" zoomScalePageLayoutView="0" workbookViewId="0" topLeftCell="A1">
      <pane xSplit="7" ySplit="6" topLeftCell="H94" activePane="bottomRight" state="frozen"/>
      <selection pane="topLeft" activeCell="A1" sqref="A1"/>
      <selection pane="topRight" activeCell="H1" sqref="H1"/>
      <selection pane="bottomLeft" activeCell="A7" sqref="A7"/>
      <selection pane="bottomRight" activeCell="P118" sqref="P118"/>
    </sheetView>
  </sheetViews>
  <sheetFormatPr defaultColWidth="9.00390625" defaultRowHeight="12.75"/>
  <cols>
    <col min="1" max="1" width="12.25390625" style="7" customWidth="1"/>
    <col min="2" max="2" width="12.375" style="7" customWidth="1"/>
    <col min="3" max="3" width="9.125" style="7" customWidth="1"/>
    <col min="4" max="4" width="11.375" style="7" customWidth="1"/>
    <col min="5" max="5" width="21.875" style="7" customWidth="1"/>
    <col min="6" max="7" width="0.12890625" style="8" hidden="1" customWidth="1"/>
    <col min="8" max="8" width="19.125" style="3" customWidth="1"/>
    <col min="9" max="9" width="19.625" style="3" customWidth="1"/>
    <col min="10" max="10" width="21.75390625" style="3" customWidth="1"/>
    <col min="11" max="11" width="20.375" style="3" customWidth="1"/>
    <col min="12" max="12" width="19.00390625" style="3" customWidth="1"/>
    <col min="13" max="13" width="0.12890625" style="8" customWidth="1"/>
    <col min="14" max="14" width="18.125" style="8" customWidth="1"/>
    <col min="15" max="16384" width="9.125" style="8" customWidth="1"/>
  </cols>
  <sheetData>
    <row r="1" spans="1:12" ht="35.25" customHeight="1">
      <c r="A1" s="159" t="s">
        <v>169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8.75" customHeight="1" hidden="1">
      <c r="A2" s="5"/>
      <c r="B2" s="3"/>
      <c r="C2" s="3"/>
      <c r="D2" s="3"/>
      <c r="E2" s="3"/>
      <c r="F2" s="6"/>
      <c r="G2" s="6"/>
      <c r="M2" s="6"/>
    </row>
    <row r="3" spans="12:13" ht="19.5" thickBot="1">
      <c r="L3" s="3" t="s">
        <v>15</v>
      </c>
      <c r="M3" s="46"/>
    </row>
    <row r="4" spans="1:13" ht="12.75" customHeight="1">
      <c r="A4" s="163" t="s">
        <v>141</v>
      </c>
      <c r="B4" s="164"/>
      <c r="C4" s="164"/>
      <c r="D4" s="164"/>
      <c r="E4" s="164"/>
      <c r="F4" s="165"/>
      <c r="G4" s="160" t="s">
        <v>151</v>
      </c>
      <c r="H4" s="160" t="s">
        <v>170</v>
      </c>
      <c r="I4" s="160" t="s">
        <v>171</v>
      </c>
      <c r="J4" s="160" t="s">
        <v>16</v>
      </c>
      <c r="K4" s="160"/>
      <c r="L4" s="172" t="s">
        <v>135</v>
      </c>
      <c r="M4" s="147" t="s">
        <v>14</v>
      </c>
    </row>
    <row r="5" spans="1:13" s="7" customFormat="1" ht="12.75" customHeight="1">
      <c r="A5" s="166"/>
      <c r="B5" s="167"/>
      <c r="C5" s="167"/>
      <c r="D5" s="167"/>
      <c r="E5" s="167"/>
      <c r="F5" s="168"/>
      <c r="G5" s="161"/>
      <c r="H5" s="161"/>
      <c r="I5" s="161"/>
      <c r="J5" s="161"/>
      <c r="K5" s="161"/>
      <c r="L5" s="173"/>
      <c r="M5" s="147"/>
    </row>
    <row r="6" spans="1:13" s="7" customFormat="1" ht="70.5" customHeight="1" thickBot="1">
      <c r="A6" s="169"/>
      <c r="B6" s="170"/>
      <c r="C6" s="170"/>
      <c r="D6" s="170"/>
      <c r="E6" s="170"/>
      <c r="F6" s="171"/>
      <c r="G6" s="162"/>
      <c r="H6" s="162"/>
      <c r="I6" s="162"/>
      <c r="J6" s="36" t="s">
        <v>172</v>
      </c>
      <c r="K6" s="47" t="s">
        <v>173</v>
      </c>
      <c r="L6" s="174"/>
      <c r="M6" s="147"/>
    </row>
    <row r="7" spans="1:14" s="7" customFormat="1" ht="37.5" customHeight="1" thickBot="1">
      <c r="A7" s="153" t="s">
        <v>0</v>
      </c>
      <c r="B7" s="154"/>
      <c r="C7" s="154"/>
      <c r="D7" s="154"/>
      <c r="E7" s="154"/>
      <c r="F7" s="154"/>
      <c r="G7" s="48"/>
      <c r="H7" s="28">
        <f>H8+H34</f>
        <v>1322479.4</v>
      </c>
      <c r="I7" s="28">
        <f>I8+I34</f>
        <v>2029126.8</v>
      </c>
      <c r="J7" s="28">
        <f>J8+J34</f>
        <v>1134853.9000000001</v>
      </c>
      <c r="K7" s="28">
        <f>K8+K34</f>
        <v>2014107.6</v>
      </c>
      <c r="L7" s="110">
        <f>L8+L34</f>
        <v>-15019.199999999837</v>
      </c>
      <c r="M7" s="49"/>
      <c r="N7" s="50"/>
    </row>
    <row r="8" spans="1:13" ht="21.75" customHeight="1" thickBot="1">
      <c r="A8" s="157" t="s">
        <v>98</v>
      </c>
      <c r="B8" s="158"/>
      <c r="C8" s="158"/>
      <c r="D8" s="158"/>
      <c r="E8" s="158"/>
      <c r="F8" s="158"/>
      <c r="G8" s="51">
        <f>G9+G19</f>
        <v>435343.60000000003</v>
      </c>
      <c r="H8" s="29">
        <f>SUM(H9+H19)</f>
        <v>379235.6</v>
      </c>
      <c r="I8" s="29">
        <f>SUM(I9+I19)</f>
        <v>386286.3</v>
      </c>
      <c r="J8" s="29">
        <f>SUM(J9+J19)</f>
        <v>241623.7</v>
      </c>
      <c r="K8" s="29">
        <f>SUM(K9+K19)</f>
        <v>364912.7</v>
      </c>
      <c r="L8" s="52">
        <f>K8-I8</f>
        <v>-21373.599999999977</v>
      </c>
      <c r="M8" s="53">
        <f>L8-I8</f>
        <v>-407659.89999999997</v>
      </c>
    </row>
    <row r="9" spans="1:13" s="55" customFormat="1" ht="21.75" customHeight="1" thickBot="1">
      <c r="A9" s="155" t="s">
        <v>1</v>
      </c>
      <c r="B9" s="156"/>
      <c r="C9" s="156"/>
      <c r="D9" s="156"/>
      <c r="E9" s="156"/>
      <c r="F9" s="156"/>
      <c r="G9" s="30">
        <f>SUM(G10:G18)</f>
        <v>186804.90000000002</v>
      </c>
      <c r="H9" s="30">
        <f>SUM(H10:H18)</f>
        <v>302627</v>
      </c>
      <c r="I9" s="30">
        <f>SUM(I10:I18)</f>
        <v>315171.5</v>
      </c>
      <c r="J9" s="30">
        <f>SUM(J10:J18)</f>
        <v>197609.90000000002</v>
      </c>
      <c r="K9" s="30">
        <f>SUM(K10:K18)</f>
        <v>301714.60000000003</v>
      </c>
      <c r="L9" s="54">
        <f>K9-I9</f>
        <v>-13456.899999999965</v>
      </c>
      <c r="M9" s="53">
        <f>L8:L9-I9</f>
        <v>-328628.39999999997</v>
      </c>
    </row>
    <row r="10" spans="1:14" ht="25.5" customHeight="1">
      <c r="A10" s="148" t="s">
        <v>2</v>
      </c>
      <c r="B10" s="149"/>
      <c r="C10" s="149"/>
      <c r="D10" s="149"/>
      <c r="E10" s="149"/>
      <c r="F10" s="149"/>
      <c r="G10" s="31">
        <v>139351</v>
      </c>
      <c r="H10" s="31">
        <v>152816.1</v>
      </c>
      <c r="I10" s="31">
        <v>161950</v>
      </c>
      <c r="J10" s="31">
        <v>108879.2</v>
      </c>
      <c r="K10" s="31">
        <v>156500</v>
      </c>
      <c r="L10" s="56">
        <f>K10-I10</f>
        <v>-5450</v>
      </c>
      <c r="M10" s="57">
        <f aca="true" t="shared" si="0" ref="M10:M38">L10-I10</f>
        <v>-167400</v>
      </c>
      <c r="N10" s="94"/>
    </row>
    <row r="11" spans="1:13" ht="35.25" customHeight="1">
      <c r="A11" s="120" t="s">
        <v>130</v>
      </c>
      <c r="B11" s="142"/>
      <c r="C11" s="142"/>
      <c r="D11" s="142"/>
      <c r="E11" s="142"/>
      <c r="F11" s="58"/>
      <c r="G11" s="32"/>
      <c r="H11" s="32">
        <v>7761.5</v>
      </c>
      <c r="I11" s="32">
        <v>8036.5</v>
      </c>
      <c r="J11" s="32">
        <v>5302.8</v>
      </c>
      <c r="K11" s="32">
        <v>7300</v>
      </c>
      <c r="L11" s="56">
        <f aca="true" t="shared" si="1" ref="L11:L18">K11-I11</f>
        <v>-736.5</v>
      </c>
      <c r="M11" s="57"/>
    </row>
    <row r="12" spans="1:13" ht="25.5" customHeight="1">
      <c r="A12" s="150" t="s">
        <v>153</v>
      </c>
      <c r="B12" s="121"/>
      <c r="C12" s="121"/>
      <c r="D12" s="121"/>
      <c r="E12" s="121"/>
      <c r="F12" s="121"/>
      <c r="G12" s="32">
        <v>39815.7</v>
      </c>
      <c r="H12" s="32">
        <v>33870.7</v>
      </c>
      <c r="I12" s="32">
        <v>31000</v>
      </c>
      <c r="J12" s="32">
        <v>19523.7</v>
      </c>
      <c r="K12" s="32">
        <v>28000</v>
      </c>
      <c r="L12" s="56">
        <f t="shared" si="1"/>
        <v>-3000</v>
      </c>
      <c r="M12" s="57">
        <f t="shared" si="0"/>
        <v>-34000</v>
      </c>
    </row>
    <row r="13" spans="1:13" ht="25.5" customHeight="1">
      <c r="A13" s="180" t="s">
        <v>154</v>
      </c>
      <c r="B13" s="145"/>
      <c r="C13" s="145"/>
      <c r="D13" s="145"/>
      <c r="E13" s="146"/>
      <c r="F13" s="22"/>
      <c r="G13" s="32"/>
      <c r="H13" s="32">
        <v>52.8</v>
      </c>
      <c r="I13" s="32">
        <v>25</v>
      </c>
      <c r="J13" s="32">
        <v>53.4</v>
      </c>
      <c r="K13" s="32">
        <v>53.4</v>
      </c>
      <c r="L13" s="56">
        <f t="shared" si="1"/>
        <v>28.4</v>
      </c>
      <c r="M13" s="57"/>
    </row>
    <row r="14" spans="1:13" ht="25.5" customHeight="1">
      <c r="A14" s="180" t="s">
        <v>155</v>
      </c>
      <c r="B14" s="145"/>
      <c r="C14" s="145"/>
      <c r="D14" s="145"/>
      <c r="E14" s="146"/>
      <c r="F14" s="22"/>
      <c r="G14" s="32"/>
      <c r="H14" s="32">
        <v>9456.7</v>
      </c>
      <c r="I14" s="32">
        <v>11000</v>
      </c>
      <c r="J14" s="32">
        <v>4585.1</v>
      </c>
      <c r="K14" s="32">
        <v>8800</v>
      </c>
      <c r="L14" s="56">
        <f t="shared" si="1"/>
        <v>-2200</v>
      </c>
      <c r="M14" s="57"/>
    </row>
    <row r="15" spans="1:13" ht="25.5" customHeight="1">
      <c r="A15" s="150" t="s">
        <v>137</v>
      </c>
      <c r="B15" s="121"/>
      <c r="C15" s="121"/>
      <c r="D15" s="121"/>
      <c r="E15" s="121"/>
      <c r="F15" s="121"/>
      <c r="G15" s="32">
        <v>1778.2</v>
      </c>
      <c r="H15" s="32">
        <v>14019.1</v>
      </c>
      <c r="I15" s="32">
        <v>14600</v>
      </c>
      <c r="J15" s="32">
        <v>3058.5</v>
      </c>
      <c r="K15" s="32">
        <v>13800</v>
      </c>
      <c r="L15" s="56">
        <f t="shared" si="1"/>
        <v>-800</v>
      </c>
      <c r="M15" s="57">
        <f t="shared" si="0"/>
        <v>-15400</v>
      </c>
    </row>
    <row r="16" spans="1:13" ht="25.5" customHeight="1">
      <c r="A16" s="180" t="s">
        <v>138</v>
      </c>
      <c r="B16" s="145"/>
      <c r="C16" s="145"/>
      <c r="D16" s="145"/>
      <c r="E16" s="146"/>
      <c r="F16" s="22"/>
      <c r="G16" s="32"/>
      <c r="H16" s="32">
        <v>75618</v>
      </c>
      <c r="I16" s="32">
        <v>81000</v>
      </c>
      <c r="J16" s="32">
        <v>48247.2</v>
      </c>
      <c r="K16" s="32">
        <f>59000+17150</f>
        <v>76150</v>
      </c>
      <c r="L16" s="56">
        <f t="shared" si="1"/>
        <v>-4850</v>
      </c>
      <c r="M16" s="57"/>
    </row>
    <row r="17" spans="1:13" ht="25.5" customHeight="1">
      <c r="A17" s="150" t="s">
        <v>3</v>
      </c>
      <c r="B17" s="121"/>
      <c r="C17" s="121"/>
      <c r="D17" s="121"/>
      <c r="E17" s="121"/>
      <c r="F17" s="121"/>
      <c r="G17" s="32">
        <v>5860</v>
      </c>
      <c r="H17" s="32">
        <v>9032</v>
      </c>
      <c r="I17" s="32">
        <v>7560</v>
      </c>
      <c r="J17" s="32">
        <v>7960</v>
      </c>
      <c r="K17" s="32">
        <v>11110</v>
      </c>
      <c r="L17" s="56">
        <f t="shared" si="1"/>
        <v>3550</v>
      </c>
      <c r="M17" s="57">
        <f t="shared" si="0"/>
        <v>-4010</v>
      </c>
    </row>
    <row r="18" spans="1:13" ht="29.25" customHeight="1" thickBot="1">
      <c r="A18" s="151" t="s">
        <v>4</v>
      </c>
      <c r="B18" s="152"/>
      <c r="C18" s="152"/>
      <c r="D18" s="152"/>
      <c r="E18" s="152"/>
      <c r="F18" s="152"/>
      <c r="G18" s="33"/>
      <c r="H18" s="33">
        <v>0.1</v>
      </c>
      <c r="I18" s="33">
        <v>0</v>
      </c>
      <c r="J18" s="33">
        <v>0</v>
      </c>
      <c r="K18" s="33">
        <v>1.2</v>
      </c>
      <c r="L18" s="56">
        <f t="shared" si="1"/>
        <v>1.2</v>
      </c>
      <c r="M18" s="57">
        <f t="shared" si="0"/>
        <v>1.2</v>
      </c>
    </row>
    <row r="19" spans="1:13" s="55" customFormat="1" ht="21.75" customHeight="1" thickBot="1">
      <c r="A19" s="157" t="s">
        <v>5</v>
      </c>
      <c r="B19" s="158"/>
      <c r="C19" s="158"/>
      <c r="D19" s="158"/>
      <c r="E19" s="158"/>
      <c r="F19" s="158"/>
      <c r="G19" s="29">
        <f aca="true" t="shared" si="2" ref="G19:L19">SUM(G20:G33)</f>
        <v>248538.7</v>
      </c>
      <c r="H19" s="29">
        <f t="shared" si="2"/>
        <v>76608.6</v>
      </c>
      <c r="I19" s="29">
        <f t="shared" si="2"/>
        <v>71114.8</v>
      </c>
      <c r="J19" s="29">
        <f t="shared" si="2"/>
        <v>44013.8</v>
      </c>
      <c r="K19" s="29">
        <f t="shared" si="2"/>
        <v>63198.1</v>
      </c>
      <c r="L19" s="52">
        <f t="shared" si="2"/>
        <v>-7916.699999999999</v>
      </c>
      <c r="M19" s="59">
        <f t="shared" si="0"/>
        <v>-79031.5</v>
      </c>
    </row>
    <row r="20" spans="1:13" ht="21" customHeight="1">
      <c r="A20" s="148" t="s">
        <v>6</v>
      </c>
      <c r="B20" s="149"/>
      <c r="C20" s="149"/>
      <c r="D20" s="149"/>
      <c r="E20" s="149"/>
      <c r="F20" s="149"/>
      <c r="G20" s="31">
        <v>20400</v>
      </c>
      <c r="H20" s="31">
        <v>26827.4</v>
      </c>
      <c r="I20" s="31">
        <v>24000</v>
      </c>
      <c r="J20" s="31">
        <v>16577.1</v>
      </c>
      <c r="K20" s="31">
        <v>24000</v>
      </c>
      <c r="L20" s="56">
        <f>K20-I20</f>
        <v>0</v>
      </c>
      <c r="M20" s="57">
        <f t="shared" si="0"/>
        <v>-24000</v>
      </c>
    </row>
    <row r="21" spans="1:13" ht="21" customHeight="1">
      <c r="A21" s="150" t="s">
        <v>7</v>
      </c>
      <c r="B21" s="121"/>
      <c r="C21" s="121"/>
      <c r="D21" s="121"/>
      <c r="E21" s="121"/>
      <c r="F21" s="121"/>
      <c r="G21" s="32">
        <v>16032.7</v>
      </c>
      <c r="H21" s="32">
        <v>1223.7</v>
      </c>
      <c r="I21" s="32">
        <v>1477</v>
      </c>
      <c r="J21" s="32">
        <v>942.7</v>
      </c>
      <c r="K21" s="32">
        <v>1350</v>
      </c>
      <c r="L21" s="56">
        <f aca="true" t="shared" si="3" ref="L21:L33">K21-I21</f>
        <v>-127</v>
      </c>
      <c r="M21" s="57">
        <f t="shared" si="0"/>
        <v>-1604</v>
      </c>
    </row>
    <row r="22" spans="1:13" ht="21" customHeight="1">
      <c r="A22" s="180" t="s">
        <v>176</v>
      </c>
      <c r="B22" s="145"/>
      <c r="C22" s="145"/>
      <c r="D22" s="145"/>
      <c r="E22" s="146"/>
      <c r="F22" s="22"/>
      <c r="G22" s="32"/>
      <c r="H22" s="32">
        <v>0</v>
      </c>
      <c r="I22" s="32">
        <v>48.5</v>
      </c>
      <c r="J22" s="32">
        <v>48.5</v>
      </c>
      <c r="K22" s="32">
        <v>48.5</v>
      </c>
      <c r="L22" s="56">
        <f t="shared" si="3"/>
        <v>0</v>
      </c>
      <c r="M22" s="57">
        <f t="shared" si="0"/>
        <v>-48.5</v>
      </c>
    </row>
    <row r="23" spans="1:13" ht="29.25" customHeight="1">
      <c r="A23" s="120" t="s">
        <v>131</v>
      </c>
      <c r="B23" s="121"/>
      <c r="C23" s="121"/>
      <c r="D23" s="121"/>
      <c r="E23" s="121"/>
      <c r="F23" s="121"/>
      <c r="G23" s="32">
        <v>4842.8</v>
      </c>
      <c r="H23" s="32">
        <v>6895.3</v>
      </c>
      <c r="I23" s="32">
        <v>3036</v>
      </c>
      <c r="J23" s="32">
        <v>3036</v>
      </c>
      <c r="K23" s="32">
        <v>3036</v>
      </c>
      <c r="L23" s="56">
        <f t="shared" si="3"/>
        <v>0</v>
      </c>
      <c r="M23" s="57">
        <f t="shared" si="0"/>
        <v>-3036</v>
      </c>
    </row>
    <row r="24" spans="1:13" ht="36.75" customHeight="1">
      <c r="A24" s="120" t="s">
        <v>13</v>
      </c>
      <c r="B24" s="121"/>
      <c r="C24" s="121"/>
      <c r="D24" s="121"/>
      <c r="E24" s="121"/>
      <c r="F24" s="121"/>
      <c r="G24" s="32">
        <v>1500</v>
      </c>
      <c r="H24" s="32">
        <v>5740</v>
      </c>
      <c r="I24" s="32">
        <v>6129.6</v>
      </c>
      <c r="J24" s="32">
        <v>4397.4</v>
      </c>
      <c r="K24" s="32">
        <v>5900</v>
      </c>
      <c r="L24" s="56">
        <f t="shared" si="3"/>
        <v>-229.60000000000036</v>
      </c>
      <c r="M24" s="57">
        <f t="shared" si="0"/>
        <v>-6359.200000000001</v>
      </c>
    </row>
    <row r="25" spans="1:13" ht="33" customHeight="1">
      <c r="A25" s="120" t="s">
        <v>8</v>
      </c>
      <c r="B25" s="142"/>
      <c r="C25" s="142"/>
      <c r="D25" s="142"/>
      <c r="E25" s="142"/>
      <c r="F25" s="142"/>
      <c r="G25" s="32">
        <v>780</v>
      </c>
      <c r="H25" s="32">
        <v>762.4</v>
      </c>
      <c r="I25" s="32">
        <v>408.1</v>
      </c>
      <c r="J25" s="32">
        <v>283.9</v>
      </c>
      <c r="K25" s="32">
        <v>408.1</v>
      </c>
      <c r="L25" s="56">
        <f t="shared" si="3"/>
        <v>0</v>
      </c>
      <c r="M25" s="57">
        <f t="shared" si="0"/>
        <v>-408.1</v>
      </c>
    </row>
    <row r="26" spans="1:13" ht="35.25" customHeight="1">
      <c r="A26" s="120" t="s">
        <v>121</v>
      </c>
      <c r="B26" s="121"/>
      <c r="C26" s="121"/>
      <c r="D26" s="121"/>
      <c r="E26" s="121"/>
      <c r="F26" s="121"/>
      <c r="G26" s="32">
        <v>48249.2</v>
      </c>
      <c r="H26" s="32">
        <f>2419.7+553.3</f>
        <v>2973</v>
      </c>
      <c r="I26" s="32">
        <f>2201+21.4</f>
        <v>2222.4</v>
      </c>
      <c r="J26" s="32">
        <f>1759.5+105.9</f>
        <v>1865.4</v>
      </c>
      <c r="K26" s="32">
        <f>2600+129.4</f>
        <v>2729.4</v>
      </c>
      <c r="L26" s="56">
        <f t="shared" si="3"/>
        <v>507</v>
      </c>
      <c r="M26" s="57">
        <f t="shared" si="0"/>
        <v>-1715.4</v>
      </c>
    </row>
    <row r="27" spans="1:13" ht="18.75" customHeight="1" hidden="1">
      <c r="A27" s="120" t="s">
        <v>136</v>
      </c>
      <c r="B27" s="142"/>
      <c r="C27" s="142"/>
      <c r="D27" s="142"/>
      <c r="E27" s="142"/>
      <c r="F27" s="58"/>
      <c r="G27" s="32"/>
      <c r="H27" s="32"/>
      <c r="I27" s="32"/>
      <c r="J27" s="32"/>
      <c r="K27" s="32"/>
      <c r="L27" s="56">
        <f t="shared" si="3"/>
        <v>0</v>
      </c>
      <c r="M27" s="57">
        <f t="shared" si="0"/>
        <v>0</v>
      </c>
    </row>
    <row r="28" spans="1:13" ht="18.75" customHeight="1" hidden="1">
      <c r="A28" s="150" t="s">
        <v>12</v>
      </c>
      <c r="B28" s="121"/>
      <c r="C28" s="121"/>
      <c r="D28" s="121"/>
      <c r="E28" s="121"/>
      <c r="F28" s="121"/>
      <c r="G28" s="32">
        <v>200</v>
      </c>
      <c r="H28" s="32"/>
      <c r="I28" s="32"/>
      <c r="J28" s="32"/>
      <c r="K28" s="32"/>
      <c r="L28" s="56">
        <f t="shared" si="3"/>
        <v>0</v>
      </c>
      <c r="M28" s="57">
        <f>L28-I28</f>
        <v>0</v>
      </c>
    </row>
    <row r="29" spans="1:13" ht="24" customHeight="1">
      <c r="A29" s="120" t="s">
        <v>139</v>
      </c>
      <c r="B29" s="121"/>
      <c r="C29" s="121"/>
      <c r="D29" s="121"/>
      <c r="E29" s="121"/>
      <c r="F29" s="121"/>
      <c r="G29" s="32">
        <v>151200</v>
      </c>
      <c r="H29" s="32">
        <v>6091.4</v>
      </c>
      <c r="I29" s="32">
        <v>6900</v>
      </c>
      <c r="J29" s="32">
        <v>4210</v>
      </c>
      <c r="K29" s="32">
        <v>7235</v>
      </c>
      <c r="L29" s="56">
        <f t="shared" si="3"/>
        <v>335</v>
      </c>
      <c r="M29" s="57">
        <f t="shared" si="0"/>
        <v>-6565</v>
      </c>
    </row>
    <row r="30" spans="1:13" ht="22.5" customHeight="1">
      <c r="A30" s="120" t="s">
        <v>140</v>
      </c>
      <c r="B30" s="142"/>
      <c r="C30" s="142"/>
      <c r="D30" s="142"/>
      <c r="E30" s="142"/>
      <c r="F30" s="142"/>
      <c r="G30" s="32">
        <v>2400</v>
      </c>
      <c r="H30" s="32">
        <v>15381.4</v>
      </c>
      <c r="I30" s="32">
        <v>20988.1</v>
      </c>
      <c r="J30" s="32">
        <v>8551.4</v>
      </c>
      <c r="K30" s="32">
        <v>13000</v>
      </c>
      <c r="L30" s="56">
        <f t="shared" si="3"/>
        <v>-7988.0999999999985</v>
      </c>
      <c r="M30" s="57">
        <f t="shared" si="0"/>
        <v>-28976.199999999997</v>
      </c>
    </row>
    <row r="31" spans="1:13" ht="18.75" customHeight="1" hidden="1">
      <c r="A31" s="120" t="s">
        <v>129</v>
      </c>
      <c r="B31" s="142"/>
      <c r="C31" s="142"/>
      <c r="D31" s="142"/>
      <c r="E31" s="142"/>
      <c r="F31" s="61"/>
      <c r="G31" s="32"/>
      <c r="H31" s="32"/>
      <c r="I31" s="32"/>
      <c r="J31" s="32"/>
      <c r="K31" s="32"/>
      <c r="L31" s="56">
        <f t="shared" si="3"/>
        <v>0</v>
      </c>
      <c r="M31" s="57">
        <f t="shared" si="0"/>
        <v>0</v>
      </c>
    </row>
    <row r="32" spans="1:13" ht="23.25" customHeight="1">
      <c r="A32" s="120" t="s">
        <v>132</v>
      </c>
      <c r="B32" s="121"/>
      <c r="C32" s="121"/>
      <c r="D32" s="121"/>
      <c r="E32" s="121"/>
      <c r="F32" s="121"/>
      <c r="G32" s="32">
        <v>2884</v>
      </c>
      <c r="H32" s="32">
        <v>5440.4</v>
      </c>
      <c r="I32" s="32">
        <v>1412.3</v>
      </c>
      <c r="J32" s="32">
        <v>1335.8</v>
      </c>
      <c r="K32" s="32">
        <v>1600</v>
      </c>
      <c r="L32" s="56">
        <f t="shared" si="3"/>
        <v>187.70000000000005</v>
      </c>
      <c r="M32" s="57">
        <f t="shared" si="0"/>
        <v>-1224.6</v>
      </c>
    </row>
    <row r="33" spans="1:13" ht="21" customHeight="1" thickBot="1">
      <c r="A33" s="150" t="s">
        <v>156</v>
      </c>
      <c r="B33" s="121"/>
      <c r="C33" s="121"/>
      <c r="D33" s="121"/>
      <c r="E33" s="121"/>
      <c r="F33" s="121"/>
      <c r="G33" s="32">
        <v>50</v>
      </c>
      <c r="H33" s="32">
        <v>5273.6</v>
      </c>
      <c r="I33" s="32">
        <v>4492.8</v>
      </c>
      <c r="J33" s="32">
        <v>2765.6</v>
      </c>
      <c r="K33" s="32">
        <v>3891.1</v>
      </c>
      <c r="L33" s="56">
        <f t="shared" si="3"/>
        <v>-601.7000000000003</v>
      </c>
      <c r="M33" s="57">
        <f t="shared" si="0"/>
        <v>-5094.5</v>
      </c>
    </row>
    <row r="34" spans="1:15" s="64" customFormat="1" ht="25.5" customHeight="1" thickBot="1">
      <c r="A34" s="177" t="s">
        <v>142</v>
      </c>
      <c r="B34" s="178"/>
      <c r="C34" s="178"/>
      <c r="D34" s="178"/>
      <c r="E34" s="178"/>
      <c r="F34" s="179"/>
      <c r="G34" s="51">
        <v>392055.2</v>
      </c>
      <c r="H34" s="29">
        <f>SUM(H35:H39)</f>
        <v>943243.8</v>
      </c>
      <c r="I34" s="29">
        <f>SUM(I35:I39)</f>
        <v>1642840.5</v>
      </c>
      <c r="J34" s="29">
        <f>SUM(J35:J39)</f>
        <v>893230.2000000001</v>
      </c>
      <c r="K34" s="29">
        <f>SUM(K35:K39)</f>
        <v>1649194.9000000001</v>
      </c>
      <c r="L34" s="62">
        <f aca="true" t="shared" si="4" ref="L34:L39">K34-I34</f>
        <v>6354.40000000014</v>
      </c>
      <c r="M34" s="63">
        <f t="shared" si="0"/>
        <v>-1636486.0999999999</v>
      </c>
      <c r="O34" s="65"/>
    </row>
    <row r="35" spans="1:15" s="46" customFormat="1" ht="27.75" customHeight="1">
      <c r="A35" s="184" t="s">
        <v>163</v>
      </c>
      <c r="B35" s="185"/>
      <c r="C35" s="185"/>
      <c r="D35" s="185"/>
      <c r="E35" s="185"/>
      <c r="F35" s="66"/>
      <c r="G35" s="67"/>
      <c r="H35" s="31">
        <f>275952.7+54824.7</f>
        <v>330777.4</v>
      </c>
      <c r="I35" s="31">
        <f>294332.7+65457.2</f>
        <v>359789.9</v>
      </c>
      <c r="J35" s="31">
        <f>220749.5+57998.8</f>
        <v>278748.3</v>
      </c>
      <c r="K35" s="31">
        <f>359789.9+18199.5</f>
        <v>377989.4</v>
      </c>
      <c r="L35" s="60">
        <f t="shared" si="4"/>
        <v>18199.5</v>
      </c>
      <c r="M35" s="68">
        <f t="shared" si="0"/>
        <v>-341590.4</v>
      </c>
      <c r="O35" s="69"/>
    </row>
    <row r="36" spans="1:15" s="46" customFormat="1" ht="30.75" customHeight="1">
      <c r="A36" s="120" t="s">
        <v>164</v>
      </c>
      <c r="B36" s="142"/>
      <c r="C36" s="142"/>
      <c r="D36" s="142"/>
      <c r="E36" s="142"/>
      <c r="F36" s="58"/>
      <c r="G36" s="17"/>
      <c r="H36" s="32">
        <f>139908.8+23417.1</f>
        <v>163325.9</v>
      </c>
      <c r="I36" s="32">
        <v>522650.39999999997</v>
      </c>
      <c r="J36" s="32">
        <f>23996.4+176488.9</f>
        <v>200485.3</v>
      </c>
      <c r="K36" s="32">
        <f>522650.4+8000-855.9-18509.1-256.8-0.7</f>
        <v>511027.9</v>
      </c>
      <c r="L36" s="60">
        <f t="shared" si="4"/>
        <v>-11622.499999999942</v>
      </c>
      <c r="M36" s="68"/>
      <c r="O36" s="69"/>
    </row>
    <row r="37" spans="1:13" s="46" customFormat="1" ht="24.75" customHeight="1">
      <c r="A37" s="120" t="s">
        <v>165</v>
      </c>
      <c r="B37" s="142"/>
      <c r="C37" s="142"/>
      <c r="D37" s="142"/>
      <c r="E37" s="142"/>
      <c r="F37" s="142"/>
      <c r="G37" s="70"/>
      <c r="H37" s="32">
        <v>444597.9</v>
      </c>
      <c r="I37" s="32">
        <v>477161.8</v>
      </c>
      <c r="J37" s="32">
        <v>355720.7</v>
      </c>
      <c r="K37" s="32">
        <f>477161.8+309.5-183</f>
        <v>477288.3</v>
      </c>
      <c r="L37" s="60">
        <f t="shared" si="4"/>
        <v>126.5</v>
      </c>
      <c r="M37" s="71">
        <f t="shared" si="0"/>
        <v>-477035.3</v>
      </c>
    </row>
    <row r="38" spans="1:13" s="46" customFormat="1" ht="36.75" customHeight="1">
      <c r="A38" s="120" t="s">
        <v>166</v>
      </c>
      <c r="B38" s="142"/>
      <c r="C38" s="142"/>
      <c r="D38" s="142"/>
      <c r="E38" s="142"/>
      <c r="F38" s="61"/>
      <c r="G38" s="70"/>
      <c r="H38" s="32">
        <v>5605.1</v>
      </c>
      <c r="I38" s="34">
        <v>283717</v>
      </c>
      <c r="J38" s="34">
        <v>58754.5</v>
      </c>
      <c r="K38" s="34">
        <v>283717</v>
      </c>
      <c r="L38" s="60">
        <f t="shared" si="4"/>
        <v>0</v>
      </c>
      <c r="M38" s="72">
        <f t="shared" si="0"/>
        <v>-283717</v>
      </c>
    </row>
    <row r="39" spans="1:13" ht="46.5" customHeight="1" thickBot="1">
      <c r="A39" s="151" t="s">
        <v>17</v>
      </c>
      <c r="B39" s="181"/>
      <c r="C39" s="181"/>
      <c r="D39" s="181"/>
      <c r="E39" s="181"/>
      <c r="F39" s="181"/>
      <c r="G39" s="33">
        <v>50</v>
      </c>
      <c r="H39" s="33">
        <v>-1062.5</v>
      </c>
      <c r="I39" s="33">
        <v>-478.6</v>
      </c>
      <c r="J39" s="33">
        <v>-478.6</v>
      </c>
      <c r="K39" s="33">
        <f>-478.6-349.1</f>
        <v>-827.7</v>
      </c>
      <c r="L39" s="60">
        <f t="shared" si="4"/>
        <v>-349.1</v>
      </c>
      <c r="M39" s="57">
        <f>L39-I39</f>
        <v>129.5</v>
      </c>
    </row>
    <row r="40" spans="1:13" s="55" customFormat="1" ht="39" customHeight="1" thickBot="1">
      <c r="A40" s="175" t="s">
        <v>9</v>
      </c>
      <c r="B40" s="176"/>
      <c r="C40" s="176"/>
      <c r="D40" s="176"/>
      <c r="E40" s="176"/>
      <c r="F40" s="73"/>
      <c r="G40" s="74">
        <f>G9+G19+G34+G37</f>
        <v>827398.8</v>
      </c>
      <c r="H40" s="28">
        <f aca="true" t="shared" si="5" ref="H40:M40">H34+H8</f>
        <v>1322479.4</v>
      </c>
      <c r="I40" s="28">
        <f t="shared" si="5"/>
        <v>2029126.8</v>
      </c>
      <c r="J40" s="28">
        <f t="shared" si="5"/>
        <v>1134853.9000000001</v>
      </c>
      <c r="K40" s="28">
        <f t="shared" si="5"/>
        <v>2014107.6</v>
      </c>
      <c r="L40" s="110">
        <f t="shared" si="5"/>
        <v>-15019.199999999837</v>
      </c>
      <c r="M40" s="75">
        <f t="shared" si="5"/>
        <v>-2044145.9999999998</v>
      </c>
    </row>
    <row r="41" spans="1:12" ht="19.5" customHeight="1" hidden="1">
      <c r="A41" s="9" t="s">
        <v>10</v>
      </c>
      <c r="B41" s="10"/>
      <c r="C41" s="10"/>
      <c r="D41" s="10"/>
      <c r="E41" s="10"/>
      <c r="F41" s="11"/>
      <c r="G41" s="12"/>
      <c r="H41" s="35"/>
      <c r="I41" s="35"/>
      <c r="J41" s="35"/>
      <c r="K41" s="35"/>
      <c r="L41" s="26">
        <f>K41-I41</f>
        <v>0</v>
      </c>
    </row>
    <row r="42" spans="1:12" ht="19.5" customHeight="1" hidden="1">
      <c r="A42" s="13"/>
      <c r="B42" s="14"/>
      <c r="C42" s="14"/>
      <c r="D42" s="14"/>
      <c r="E42" s="14"/>
      <c r="F42" s="15"/>
      <c r="G42" s="16" t="s">
        <v>11</v>
      </c>
      <c r="H42" s="16"/>
      <c r="I42" s="16"/>
      <c r="J42" s="37"/>
      <c r="K42" s="37"/>
      <c r="L42" s="27">
        <f>K42-I42</f>
        <v>0</v>
      </c>
    </row>
    <row r="43" spans="1:12" ht="19.5" hidden="1">
      <c r="A43" s="95"/>
      <c r="B43" s="96"/>
      <c r="C43" s="96"/>
      <c r="D43" s="96"/>
      <c r="E43" s="96"/>
      <c r="F43" s="97"/>
      <c r="G43" s="98"/>
      <c r="H43" s="33"/>
      <c r="I43" s="33"/>
      <c r="J43" s="33"/>
      <c r="K43" s="33"/>
      <c r="L43" s="99">
        <f>K43-I43</f>
        <v>0</v>
      </c>
    </row>
    <row r="44" spans="1:12" ht="33.75" customHeight="1">
      <c r="A44" s="182" t="s">
        <v>10</v>
      </c>
      <c r="B44" s="183"/>
      <c r="C44" s="183"/>
      <c r="D44" s="183"/>
      <c r="E44" s="183"/>
      <c r="F44" s="183"/>
      <c r="G44" s="100"/>
      <c r="H44" s="101">
        <f>H45+H54+H58+H63+H68+H71+H77+H88+H94+H97+H99</f>
        <v>1322396.7000000002</v>
      </c>
      <c r="I44" s="101">
        <f>I45+I54+I58+I63+I68+I71+I77+I88+I94+I97+I99</f>
        <v>2052200.3974199998</v>
      </c>
      <c r="J44" s="101">
        <f>J45+J54+J58+J63+J68+J71+J77+J88+J94+J97+J99</f>
        <v>1106721.53584</v>
      </c>
      <c r="K44" s="101">
        <f>K45+K54+K58+K63+K68+K71+K77+K88+K94+K97+K99</f>
        <v>2037181.1661499997</v>
      </c>
      <c r="L44" s="102">
        <f>L45+L54+L58+L63+L68+L71+L77+L88+L94+L97+L99</f>
        <v>-15019.231269999877</v>
      </c>
    </row>
    <row r="45" spans="1:12" ht="41.25" customHeight="1">
      <c r="A45" s="4" t="s">
        <v>18</v>
      </c>
      <c r="B45" s="111" t="s">
        <v>19</v>
      </c>
      <c r="C45" s="112"/>
      <c r="D45" s="112"/>
      <c r="E45" s="113"/>
      <c r="F45" s="19"/>
      <c r="G45" s="18"/>
      <c r="H45" s="85">
        <f>H46+H47+H48+H49+H50+H52+H53</f>
        <v>100958.1</v>
      </c>
      <c r="I45" s="85">
        <f>I46+I47+I48+I49+I50+I52+I53+I51</f>
        <v>113396.31327999999</v>
      </c>
      <c r="J45" s="85">
        <f>J46+J47+J48+J49+J50+J52+J53+J51</f>
        <v>76542.0532</v>
      </c>
      <c r="K45" s="85">
        <f>K46+K47+K48+K49+K50+K52+K53+K51</f>
        <v>110781.68200999999</v>
      </c>
      <c r="L45" s="86">
        <f>L46+L47+L48+L49+L50+L52+L53+L51</f>
        <v>-2614.6312700000044</v>
      </c>
    </row>
    <row r="46" spans="1:12" ht="69.75" customHeight="1">
      <c r="A46" s="20" t="s">
        <v>20</v>
      </c>
      <c r="B46" s="140" t="s">
        <v>152</v>
      </c>
      <c r="C46" s="140"/>
      <c r="D46" s="140"/>
      <c r="E46" s="140"/>
      <c r="F46" s="19"/>
      <c r="G46" s="18"/>
      <c r="H46" s="87">
        <v>1382.8</v>
      </c>
      <c r="I46" s="103">
        <v>1562.4</v>
      </c>
      <c r="J46" s="103">
        <v>1122.01773</v>
      </c>
      <c r="K46" s="103">
        <f>1122.01773+104</f>
        <v>1226.01773</v>
      </c>
      <c r="L46" s="86">
        <f aca="true" t="shared" si="6" ref="L46:L53">K46-I46</f>
        <v>-336.38227000000006</v>
      </c>
    </row>
    <row r="47" spans="1:12" ht="107.25" customHeight="1">
      <c r="A47" s="20" t="s">
        <v>21</v>
      </c>
      <c r="B47" s="140" t="s">
        <v>127</v>
      </c>
      <c r="C47" s="140"/>
      <c r="D47" s="140"/>
      <c r="E47" s="140"/>
      <c r="F47" s="19"/>
      <c r="G47" s="18"/>
      <c r="H47" s="87">
        <v>7621</v>
      </c>
      <c r="I47" s="103">
        <v>8151.499</v>
      </c>
      <c r="J47" s="103">
        <v>5660.69699</v>
      </c>
      <c r="K47" s="103">
        <v>8151.499</v>
      </c>
      <c r="L47" s="86">
        <f t="shared" si="6"/>
        <v>0</v>
      </c>
    </row>
    <row r="48" spans="1:12" ht="108.75" customHeight="1">
      <c r="A48" s="20" t="s">
        <v>22</v>
      </c>
      <c r="B48" s="140" t="s">
        <v>91</v>
      </c>
      <c r="C48" s="140"/>
      <c r="D48" s="140"/>
      <c r="E48" s="140"/>
      <c r="F48" s="19"/>
      <c r="G48" s="18"/>
      <c r="H48" s="87">
        <v>40165.3</v>
      </c>
      <c r="I48" s="103">
        <v>39622.91441</v>
      </c>
      <c r="J48" s="103">
        <v>28879.13359</v>
      </c>
      <c r="K48" s="103">
        <v>39622.91441</v>
      </c>
      <c r="L48" s="86">
        <f t="shared" si="6"/>
        <v>0</v>
      </c>
    </row>
    <row r="49" spans="1:12" ht="27" customHeight="1">
      <c r="A49" s="20" t="s">
        <v>23</v>
      </c>
      <c r="B49" s="140" t="s">
        <v>24</v>
      </c>
      <c r="C49" s="140"/>
      <c r="D49" s="140"/>
      <c r="E49" s="140"/>
      <c r="F49" s="19"/>
      <c r="G49" s="18"/>
      <c r="H49" s="87">
        <v>5</v>
      </c>
      <c r="I49" s="103">
        <v>18.212</v>
      </c>
      <c r="J49" s="103">
        <v>0.459</v>
      </c>
      <c r="K49" s="103">
        <v>18.212</v>
      </c>
      <c r="L49" s="86">
        <f t="shared" si="6"/>
        <v>0</v>
      </c>
    </row>
    <row r="50" spans="1:12" ht="54.75" customHeight="1">
      <c r="A50" s="20" t="s">
        <v>25</v>
      </c>
      <c r="B50" s="140" t="s">
        <v>133</v>
      </c>
      <c r="C50" s="140"/>
      <c r="D50" s="140"/>
      <c r="E50" s="140"/>
      <c r="F50" s="19"/>
      <c r="G50" s="18"/>
      <c r="H50" s="87">
        <v>9459.2</v>
      </c>
      <c r="I50" s="103">
        <v>10321.11422</v>
      </c>
      <c r="J50" s="103">
        <v>7197.8759</v>
      </c>
      <c r="K50" s="103">
        <v>10321.11422</v>
      </c>
      <c r="L50" s="86">
        <f t="shared" si="6"/>
        <v>0</v>
      </c>
    </row>
    <row r="51" spans="1:12" ht="18.75" customHeight="1">
      <c r="A51" s="20" t="s">
        <v>26</v>
      </c>
      <c r="B51" s="140" t="s">
        <v>27</v>
      </c>
      <c r="C51" s="140"/>
      <c r="D51" s="140"/>
      <c r="E51" s="140"/>
      <c r="F51" s="19"/>
      <c r="G51" s="18"/>
      <c r="H51" s="87">
        <v>0</v>
      </c>
      <c r="I51" s="103">
        <v>5200</v>
      </c>
      <c r="J51" s="103">
        <v>5200</v>
      </c>
      <c r="K51" s="103">
        <v>5200</v>
      </c>
      <c r="L51" s="86">
        <f t="shared" si="6"/>
        <v>0</v>
      </c>
    </row>
    <row r="52" spans="1:12" ht="18" customHeight="1">
      <c r="A52" s="20" t="s">
        <v>28</v>
      </c>
      <c r="B52" s="140" t="s">
        <v>30</v>
      </c>
      <c r="C52" s="140"/>
      <c r="D52" s="140"/>
      <c r="E52" s="140"/>
      <c r="F52" s="19"/>
      <c r="G52" s="18"/>
      <c r="H52" s="88">
        <v>0</v>
      </c>
      <c r="I52" s="103">
        <v>2990.049</v>
      </c>
      <c r="J52" s="103">
        <v>0</v>
      </c>
      <c r="K52" s="88">
        <v>2500</v>
      </c>
      <c r="L52" s="89">
        <f t="shared" si="6"/>
        <v>-490.049</v>
      </c>
    </row>
    <row r="53" spans="1:12" ht="26.25" customHeight="1">
      <c r="A53" s="20" t="s">
        <v>109</v>
      </c>
      <c r="B53" s="123" t="s">
        <v>31</v>
      </c>
      <c r="C53" s="123"/>
      <c r="D53" s="123"/>
      <c r="E53" s="123"/>
      <c r="F53" s="19"/>
      <c r="G53" s="18"/>
      <c r="H53" s="87">
        <v>42324.8</v>
      </c>
      <c r="I53" s="103">
        <v>45530.12465</v>
      </c>
      <c r="J53" s="103">
        <v>28481.86999</v>
      </c>
      <c r="K53" s="103">
        <f>45530.12465-1000-819.3+31.1</f>
        <v>43741.92464999999</v>
      </c>
      <c r="L53" s="86">
        <f t="shared" si="6"/>
        <v>-1788.2000000000044</v>
      </c>
    </row>
    <row r="54" spans="1:12" ht="65.25" customHeight="1">
      <c r="A54" s="4" t="s">
        <v>32</v>
      </c>
      <c r="B54" s="111" t="s">
        <v>33</v>
      </c>
      <c r="C54" s="112"/>
      <c r="D54" s="112"/>
      <c r="E54" s="113"/>
      <c r="F54" s="19"/>
      <c r="G54" s="18"/>
      <c r="H54" s="85">
        <f>SUM(H55:H57)</f>
        <v>17218.4</v>
      </c>
      <c r="I54" s="85">
        <f>SUM(I55:I57)</f>
        <v>17819.4</v>
      </c>
      <c r="J54" s="85">
        <f>SUM(J55:J57)</f>
        <v>12811.6</v>
      </c>
      <c r="K54" s="85">
        <f>SUM(K55:K56)</f>
        <v>17819.4</v>
      </c>
      <c r="L54" s="86">
        <f aca="true" t="shared" si="7" ref="L54:L98">K54-I54</f>
        <v>0</v>
      </c>
    </row>
    <row r="55" spans="1:12" ht="18.75" customHeight="1" hidden="1">
      <c r="A55" s="20" t="s">
        <v>34</v>
      </c>
      <c r="B55" s="123" t="s">
        <v>35</v>
      </c>
      <c r="C55" s="123"/>
      <c r="D55" s="123"/>
      <c r="E55" s="123"/>
      <c r="F55" s="19"/>
      <c r="G55" s="18"/>
      <c r="H55" s="88"/>
      <c r="I55" s="88"/>
      <c r="J55" s="88"/>
      <c r="K55" s="88"/>
      <c r="L55" s="86">
        <f t="shared" si="7"/>
        <v>0</v>
      </c>
    </row>
    <row r="56" spans="1:12" ht="90.75" customHeight="1">
      <c r="A56" s="20" t="s">
        <v>36</v>
      </c>
      <c r="B56" s="140" t="s">
        <v>159</v>
      </c>
      <c r="C56" s="140"/>
      <c r="D56" s="140"/>
      <c r="E56" s="140"/>
      <c r="F56" s="19"/>
      <c r="G56" s="18"/>
      <c r="H56" s="87">
        <v>17218.4</v>
      </c>
      <c r="I56" s="87">
        <v>17819.4</v>
      </c>
      <c r="J56" s="88">
        <v>12811.6</v>
      </c>
      <c r="K56" s="87">
        <v>17819.4</v>
      </c>
      <c r="L56" s="86">
        <f t="shared" si="7"/>
        <v>0</v>
      </c>
    </row>
    <row r="57" spans="1:12" ht="18.75" customHeight="1" hidden="1">
      <c r="A57" s="20" t="s">
        <v>37</v>
      </c>
      <c r="B57" s="140" t="s">
        <v>38</v>
      </c>
      <c r="C57" s="140"/>
      <c r="D57" s="140"/>
      <c r="E57" s="140"/>
      <c r="F57" s="19"/>
      <c r="G57" s="18"/>
      <c r="H57" s="88"/>
      <c r="I57" s="85"/>
      <c r="J57" s="85"/>
      <c r="K57" s="85"/>
      <c r="L57" s="86">
        <f t="shared" si="7"/>
        <v>0</v>
      </c>
    </row>
    <row r="58" spans="1:12" ht="24.75" customHeight="1">
      <c r="A58" s="4" t="s">
        <v>39</v>
      </c>
      <c r="B58" s="134" t="s">
        <v>40</v>
      </c>
      <c r="C58" s="134"/>
      <c r="D58" s="134"/>
      <c r="E58" s="134"/>
      <c r="F58" s="19"/>
      <c r="G58" s="18"/>
      <c r="H58" s="85">
        <f>SUM(H59:H62)</f>
        <v>131046.20000000001</v>
      </c>
      <c r="I58" s="85">
        <f>SUM(I59:I62)</f>
        <v>401488.79368999996</v>
      </c>
      <c r="J58" s="85">
        <f>SUM(J59:J62)</f>
        <v>141819.4785</v>
      </c>
      <c r="K58" s="85">
        <f>SUM(K59:K62)</f>
        <v>401304.79368999996</v>
      </c>
      <c r="L58" s="86">
        <f>SUM(L59:L62)</f>
        <v>-184</v>
      </c>
    </row>
    <row r="59" spans="1:12" ht="27" customHeight="1">
      <c r="A59" s="20" t="s">
        <v>124</v>
      </c>
      <c r="B59" s="123" t="s">
        <v>125</v>
      </c>
      <c r="C59" s="123"/>
      <c r="D59" s="123"/>
      <c r="E59" s="123"/>
      <c r="F59" s="19"/>
      <c r="G59" s="18"/>
      <c r="H59" s="104">
        <v>199.5</v>
      </c>
      <c r="I59" s="105">
        <v>239.79615</v>
      </c>
      <c r="J59" s="105">
        <v>0</v>
      </c>
      <c r="K59" s="105">
        <v>239.79615</v>
      </c>
      <c r="L59" s="86">
        <f t="shared" si="7"/>
        <v>0</v>
      </c>
    </row>
    <row r="60" spans="1:12" ht="27" customHeight="1">
      <c r="A60" s="20" t="s">
        <v>149</v>
      </c>
      <c r="B60" s="144" t="s">
        <v>150</v>
      </c>
      <c r="C60" s="145"/>
      <c r="D60" s="145"/>
      <c r="E60" s="146"/>
      <c r="F60" s="19"/>
      <c r="G60" s="18"/>
      <c r="H60" s="104">
        <v>8934.1</v>
      </c>
      <c r="I60" s="105">
        <v>8403.10272</v>
      </c>
      <c r="J60" s="105">
        <v>6694.8795</v>
      </c>
      <c r="K60" s="105">
        <v>8403.10272</v>
      </c>
      <c r="L60" s="86">
        <f t="shared" si="7"/>
        <v>0</v>
      </c>
    </row>
    <row r="61" spans="1:12" ht="31.5" customHeight="1">
      <c r="A61" s="20" t="s">
        <v>41</v>
      </c>
      <c r="B61" s="123" t="s">
        <v>128</v>
      </c>
      <c r="C61" s="123"/>
      <c r="D61" s="123"/>
      <c r="E61" s="123"/>
      <c r="F61" s="19"/>
      <c r="G61" s="18"/>
      <c r="H61" s="104">
        <v>121612.6</v>
      </c>
      <c r="I61" s="105">
        <f>298708.8766+184</f>
        <v>298892.8766</v>
      </c>
      <c r="J61" s="105">
        <v>65698.02786</v>
      </c>
      <c r="K61" s="105">
        <v>298708.8766</v>
      </c>
      <c r="L61" s="86">
        <f t="shared" si="7"/>
        <v>-184</v>
      </c>
    </row>
    <row r="62" spans="1:12" ht="42.75" customHeight="1">
      <c r="A62" s="20" t="s">
        <v>42</v>
      </c>
      <c r="B62" s="140" t="s">
        <v>43</v>
      </c>
      <c r="C62" s="123"/>
      <c r="D62" s="123"/>
      <c r="E62" s="123"/>
      <c r="F62" s="19"/>
      <c r="G62" s="18"/>
      <c r="H62" s="104">
        <v>300</v>
      </c>
      <c r="I62" s="105">
        <v>93953.01822</v>
      </c>
      <c r="J62" s="105">
        <v>69426.57114</v>
      </c>
      <c r="K62" s="105">
        <v>93953.01822</v>
      </c>
      <c r="L62" s="86">
        <f t="shared" si="7"/>
        <v>0</v>
      </c>
    </row>
    <row r="63" spans="1:14" s="77" customFormat="1" ht="41.25" customHeight="1">
      <c r="A63" s="4" t="s">
        <v>44</v>
      </c>
      <c r="B63" s="143" t="s">
        <v>134</v>
      </c>
      <c r="C63" s="134"/>
      <c r="D63" s="134"/>
      <c r="E63" s="134"/>
      <c r="F63" s="19"/>
      <c r="G63" s="18"/>
      <c r="H63" s="85">
        <f>H64+H65+H66+H67</f>
        <v>148016.59999999998</v>
      </c>
      <c r="I63" s="85">
        <f>I64+I65+I66+I67</f>
        <v>241303.77009</v>
      </c>
      <c r="J63" s="85">
        <f>J64+J65+J66+J67</f>
        <v>158657.83498</v>
      </c>
      <c r="K63" s="85">
        <f>K64+K65+K66+K67</f>
        <v>250937.07009</v>
      </c>
      <c r="L63" s="86">
        <f>K63-I63</f>
        <v>9633.299999999988</v>
      </c>
      <c r="M63" s="76">
        <f>SUM(M62)</f>
        <v>0</v>
      </c>
      <c r="N63" s="8"/>
    </row>
    <row r="64" spans="1:12" ht="35.25" customHeight="1">
      <c r="A64" s="20" t="s">
        <v>45</v>
      </c>
      <c r="B64" s="123" t="s">
        <v>46</v>
      </c>
      <c r="C64" s="123"/>
      <c r="D64" s="123"/>
      <c r="E64" s="123"/>
      <c r="F64" s="21">
        <v>47392.8</v>
      </c>
      <c r="G64" s="21">
        <v>47392.8</v>
      </c>
      <c r="H64" s="109">
        <v>47043.8</v>
      </c>
      <c r="I64" s="103">
        <v>14463.04066</v>
      </c>
      <c r="J64" s="103">
        <v>7568.57867</v>
      </c>
      <c r="K64" s="103">
        <f>14463.04066+1700+8000-66.7</f>
        <v>24096.340659999998</v>
      </c>
      <c r="L64" s="89">
        <f t="shared" si="7"/>
        <v>9633.299999999997</v>
      </c>
    </row>
    <row r="65" spans="1:12" ht="24.75" customHeight="1">
      <c r="A65" s="20" t="s">
        <v>47</v>
      </c>
      <c r="B65" s="123" t="s">
        <v>48</v>
      </c>
      <c r="C65" s="123"/>
      <c r="D65" s="123"/>
      <c r="E65" s="123"/>
      <c r="F65" s="21">
        <v>15404.9</v>
      </c>
      <c r="G65" s="21">
        <v>15404.9</v>
      </c>
      <c r="H65" s="109">
        <v>10265.8</v>
      </c>
      <c r="I65" s="103">
        <v>2500</v>
      </c>
      <c r="J65" s="103">
        <v>2092.7693</v>
      </c>
      <c r="K65" s="103">
        <v>2500</v>
      </c>
      <c r="L65" s="89">
        <f t="shared" si="7"/>
        <v>0</v>
      </c>
    </row>
    <row r="66" spans="1:12" ht="35.25" customHeight="1">
      <c r="A66" s="20" t="s">
        <v>49</v>
      </c>
      <c r="B66" s="121" t="s">
        <v>50</v>
      </c>
      <c r="C66" s="121"/>
      <c r="D66" s="121"/>
      <c r="E66" s="121"/>
      <c r="F66" s="21">
        <v>31191.7</v>
      </c>
      <c r="G66" s="21">
        <v>31191.7</v>
      </c>
      <c r="H66" s="109">
        <v>90667.7</v>
      </c>
      <c r="I66" s="103">
        <v>224294.84177</v>
      </c>
      <c r="J66" s="103">
        <v>148996.48701</v>
      </c>
      <c r="K66" s="103">
        <v>224294.84177</v>
      </c>
      <c r="L66" s="89">
        <f t="shared" si="7"/>
        <v>0</v>
      </c>
    </row>
    <row r="67" spans="1:12" ht="48" customHeight="1">
      <c r="A67" s="20" t="s">
        <v>51</v>
      </c>
      <c r="B67" s="140" t="s">
        <v>126</v>
      </c>
      <c r="C67" s="140"/>
      <c r="D67" s="140"/>
      <c r="E67" s="140"/>
      <c r="F67" s="21">
        <v>56761.8</v>
      </c>
      <c r="G67" s="21">
        <v>56761.8</v>
      </c>
      <c r="H67" s="109">
        <v>39.3</v>
      </c>
      <c r="I67" s="103">
        <v>45.88766</v>
      </c>
      <c r="J67" s="103">
        <v>0</v>
      </c>
      <c r="K67" s="103">
        <v>45.88766</v>
      </c>
      <c r="L67" s="89">
        <f t="shared" si="7"/>
        <v>0</v>
      </c>
    </row>
    <row r="68" spans="1:12" ht="48" customHeight="1">
      <c r="A68" s="4" t="s">
        <v>143</v>
      </c>
      <c r="B68" s="111" t="s">
        <v>145</v>
      </c>
      <c r="C68" s="112"/>
      <c r="D68" s="112"/>
      <c r="E68" s="113"/>
      <c r="F68" s="21"/>
      <c r="G68" s="21"/>
      <c r="H68" s="91">
        <f>SUM(H69:H70)</f>
        <v>233.4</v>
      </c>
      <c r="I68" s="91">
        <f>SUM(I69:I70)</f>
        <v>91721.2</v>
      </c>
      <c r="J68" s="91">
        <f>SUM(J69:J70)</f>
        <v>0</v>
      </c>
      <c r="K68" s="91">
        <f>SUM(K69:K70)</f>
        <v>73211.09999999999</v>
      </c>
      <c r="L68" s="106">
        <f>SUM(L69:L70)</f>
        <v>-18510.100000000006</v>
      </c>
    </row>
    <row r="69" spans="1:12" ht="48" customHeight="1">
      <c r="A69" s="20" t="s">
        <v>174</v>
      </c>
      <c r="B69" s="186" t="s">
        <v>175</v>
      </c>
      <c r="C69" s="187"/>
      <c r="D69" s="187"/>
      <c r="E69" s="188"/>
      <c r="F69" s="21"/>
      <c r="G69" s="21"/>
      <c r="H69" s="91">
        <v>0</v>
      </c>
      <c r="I69" s="90">
        <v>4736.8</v>
      </c>
      <c r="J69" s="91">
        <v>0</v>
      </c>
      <c r="K69" s="90">
        <v>4736.8</v>
      </c>
      <c r="L69" s="106"/>
    </row>
    <row r="70" spans="1:12" ht="48" customHeight="1">
      <c r="A70" s="20" t="s">
        <v>144</v>
      </c>
      <c r="B70" s="114" t="s">
        <v>146</v>
      </c>
      <c r="C70" s="115"/>
      <c r="D70" s="115"/>
      <c r="E70" s="116"/>
      <c r="F70" s="21"/>
      <c r="G70" s="21"/>
      <c r="H70" s="90">
        <v>233.4</v>
      </c>
      <c r="I70" s="88">
        <v>86984.4</v>
      </c>
      <c r="J70" s="88">
        <v>0</v>
      </c>
      <c r="K70" s="88">
        <f>86984.4-18510.1</f>
        <v>68474.29999999999</v>
      </c>
      <c r="L70" s="107">
        <f>SUM(K70-I70)</f>
        <v>-18510.100000000006</v>
      </c>
    </row>
    <row r="71" spans="1:12" ht="38.25" customHeight="1">
      <c r="A71" s="4" t="s">
        <v>52</v>
      </c>
      <c r="B71" s="134" t="s">
        <v>53</v>
      </c>
      <c r="C71" s="134"/>
      <c r="D71" s="134"/>
      <c r="E71" s="134"/>
      <c r="F71" s="19"/>
      <c r="G71" s="18"/>
      <c r="H71" s="92">
        <f>H72+H73+H74+H75+H76</f>
        <v>808125.6000000001</v>
      </c>
      <c r="I71" s="85">
        <f>SUM(I72:I76)</f>
        <v>915248.7203599999</v>
      </c>
      <c r="J71" s="85">
        <f>SUM(J72:J76)</f>
        <v>619601.26916</v>
      </c>
      <c r="K71" s="85">
        <f>SUM(K72:K76)</f>
        <v>914408.1203600001</v>
      </c>
      <c r="L71" s="86">
        <f aca="true" t="shared" si="8" ref="L71:L76">K71-I71</f>
        <v>-840.5999999998603</v>
      </c>
    </row>
    <row r="72" spans="1:12" ht="30" customHeight="1">
      <c r="A72" s="20" t="s">
        <v>54</v>
      </c>
      <c r="B72" s="123" t="s">
        <v>55</v>
      </c>
      <c r="C72" s="123"/>
      <c r="D72" s="123"/>
      <c r="E72" s="123"/>
      <c r="F72" s="19"/>
      <c r="G72" s="18"/>
      <c r="H72" s="104">
        <v>377629.7</v>
      </c>
      <c r="I72" s="104">
        <v>395534.51761</v>
      </c>
      <c r="J72" s="104">
        <v>281744.19804</v>
      </c>
      <c r="K72" s="104">
        <v>395534.51761</v>
      </c>
      <c r="L72" s="86">
        <f t="shared" si="8"/>
        <v>0</v>
      </c>
    </row>
    <row r="73" spans="1:12" ht="30" customHeight="1">
      <c r="A73" s="20" t="s">
        <v>56</v>
      </c>
      <c r="B73" s="123" t="s">
        <v>57</v>
      </c>
      <c r="C73" s="123"/>
      <c r="D73" s="123"/>
      <c r="E73" s="123"/>
      <c r="F73" s="19"/>
      <c r="G73" s="18"/>
      <c r="H73" s="104">
        <v>288278.2</v>
      </c>
      <c r="I73" s="104">
        <v>350591.35927</v>
      </c>
      <c r="J73" s="104">
        <v>221992.59236</v>
      </c>
      <c r="K73" s="104">
        <v>350591.35927</v>
      </c>
      <c r="L73" s="86">
        <f t="shared" si="8"/>
        <v>0</v>
      </c>
    </row>
    <row r="74" spans="1:12" ht="30" customHeight="1">
      <c r="A74" s="20" t="s">
        <v>147</v>
      </c>
      <c r="B74" s="117" t="s">
        <v>148</v>
      </c>
      <c r="C74" s="118"/>
      <c r="D74" s="118"/>
      <c r="E74" s="119"/>
      <c r="F74" s="19"/>
      <c r="G74" s="18"/>
      <c r="H74" s="104">
        <v>107002.5</v>
      </c>
      <c r="I74" s="104">
        <v>115223.82343</v>
      </c>
      <c r="J74" s="104">
        <v>72704.80243</v>
      </c>
      <c r="K74" s="104">
        <v>115223.82343</v>
      </c>
      <c r="L74" s="86">
        <f t="shared" si="8"/>
        <v>0</v>
      </c>
    </row>
    <row r="75" spans="1:12" ht="30" customHeight="1">
      <c r="A75" s="20" t="s">
        <v>58</v>
      </c>
      <c r="B75" s="123" t="s">
        <v>59</v>
      </c>
      <c r="C75" s="123"/>
      <c r="D75" s="123"/>
      <c r="E75" s="123"/>
      <c r="F75" s="19"/>
      <c r="G75" s="18"/>
      <c r="H75" s="104">
        <v>12763.9</v>
      </c>
      <c r="I75" s="104">
        <v>11319.1089</v>
      </c>
      <c r="J75" s="104">
        <v>8776.07298</v>
      </c>
      <c r="K75" s="104">
        <f>11319.1089-183-657.6</f>
        <v>10478.508899999999</v>
      </c>
      <c r="L75" s="86">
        <f t="shared" si="8"/>
        <v>-840.6000000000004</v>
      </c>
    </row>
    <row r="76" spans="1:12" ht="33" customHeight="1">
      <c r="A76" s="20" t="s">
        <v>60</v>
      </c>
      <c r="B76" s="123" t="s">
        <v>61</v>
      </c>
      <c r="C76" s="123"/>
      <c r="D76" s="123"/>
      <c r="E76" s="123"/>
      <c r="F76" s="19"/>
      <c r="G76" s="18"/>
      <c r="H76" s="93">
        <v>22451.3</v>
      </c>
      <c r="I76" s="104">
        <v>42579.91115</v>
      </c>
      <c r="J76" s="104">
        <v>34383.60335</v>
      </c>
      <c r="K76" s="104">
        <v>42579.91115</v>
      </c>
      <c r="L76" s="86">
        <f t="shared" si="8"/>
        <v>0</v>
      </c>
    </row>
    <row r="77" spans="1:12" ht="38.25" customHeight="1">
      <c r="A77" s="4" t="s">
        <v>62</v>
      </c>
      <c r="B77" s="143" t="s">
        <v>110</v>
      </c>
      <c r="C77" s="143"/>
      <c r="D77" s="143"/>
      <c r="E77" s="143"/>
      <c r="F77" s="19"/>
      <c r="G77" s="18"/>
      <c r="H77" s="85">
        <f>SUM(H78:H80)</f>
        <v>59812.1</v>
      </c>
      <c r="I77" s="85">
        <f>SUM(I78:I80)</f>
        <v>60024.200000000004</v>
      </c>
      <c r="J77" s="85">
        <f>SUM(J78:J80)</f>
        <v>43590.2</v>
      </c>
      <c r="K77" s="85">
        <f>SUM(K78:K80)</f>
        <v>60024.200000000004</v>
      </c>
      <c r="L77" s="86">
        <f>SUM(L78:L80)</f>
        <v>0</v>
      </c>
    </row>
    <row r="78" spans="1:12" ht="29.25" customHeight="1">
      <c r="A78" s="20" t="s">
        <v>63</v>
      </c>
      <c r="B78" s="123" t="s">
        <v>64</v>
      </c>
      <c r="C78" s="123"/>
      <c r="D78" s="123"/>
      <c r="E78" s="123"/>
      <c r="F78" s="19"/>
      <c r="G78" s="18"/>
      <c r="H78" s="87">
        <v>56332.7</v>
      </c>
      <c r="I78" s="88">
        <v>56153.3</v>
      </c>
      <c r="J78" s="88">
        <v>40898</v>
      </c>
      <c r="K78" s="88">
        <v>56153.3</v>
      </c>
      <c r="L78" s="86">
        <f t="shared" si="7"/>
        <v>0</v>
      </c>
    </row>
    <row r="79" spans="1:12" ht="18.75" customHeight="1" hidden="1">
      <c r="A79" s="20" t="s">
        <v>65</v>
      </c>
      <c r="B79" s="123" t="s">
        <v>66</v>
      </c>
      <c r="C79" s="123"/>
      <c r="D79" s="123"/>
      <c r="E79" s="123"/>
      <c r="F79" s="19"/>
      <c r="G79" s="18"/>
      <c r="H79" s="87"/>
      <c r="I79" s="88"/>
      <c r="J79" s="88"/>
      <c r="K79" s="88"/>
      <c r="L79" s="86">
        <f t="shared" si="7"/>
        <v>0</v>
      </c>
    </row>
    <row r="80" spans="1:12" ht="54.75" customHeight="1">
      <c r="A80" s="20" t="s">
        <v>114</v>
      </c>
      <c r="B80" s="140" t="s">
        <v>67</v>
      </c>
      <c r="C80" s="123"/>
      <c r="D80" s="123"/>
      <c r="E80" s="123"/>
      <c r="F80" s="19"/>
      <c r="G80" s="18"/>
      <c r="H80" s="87">
        <v>3479.4</v>
      </c>
      <c r="I80" s="88">
        <v>3870.9</v>
      </c>
      <c r="J80" s="88">
        <v>2692.2</v>
      </c>
      <c r="K80" s="88">
        <v>3870.9</v>
      </c>
      <c r="L80" s="86">
        <f t="shared" si="7"/>
        <v>0</v>
      </c>
    </row>
    <row r="81" spans="1:13" ht="18.75" customHeight="1" hidden="1">
      <c r="A81" s="4" t="s">
        <v>68</v>
      </c>
      <c r="B81" s="143" t="s">
        <v>92</v>
      </c>
      <c r="C81" s="134"/>
      <c r="D81" s="134"/>
      <c r="E81" s="134"/>
      <c r="F81" s="19"/>
      <c r="G81" s="18"/>
      <c r="H81" s="85">
        <f>H82+H83+H84+H85+H87</f>
        <v>187656.6</v>
      </c>
      <c r="I81" s="85">
        <f>SUM(I82:I87)</f>
        <v>0</v>
      </c>
      <c r="J81" s="85">
        <f>SUM(J82:J87)</f>
        <v>0</v>
      </c>
      <c r="K81" s="85">
        <f>SUM(K82:K87)</f>
        <v>0</v>
      </c>
      <c r="L81" s="86">
        <f t="shared" si="7"/>
        <v>0</v>
      </c>
      <c r="M81" s="78">
        <f>SUM(M82:M84)</f>
        <v>0</v>
      </c>
    </row>
    <row r="82" spans="1:12" ht="18.75" customHeight="1" hidden="1">
      <c r="A82" s="20" t="s">
        <v>69</v>
      </c>
      <c r="B82" s="123" t="s">
        <v>70</v>
      </c>
      <c r="C82" s="123"/>
      <c r="D82" s="123"/>
      <c r="E82" s="123"/>
      <c r="F82" s="19"/>
      <c r="G82" s="18"/>
      <c r="H82" s="87">
        <v>98449</v>
      </c>
      <c r="I82" s="88">
        <v>0</v>
      </c>
      <c r="J82" s="88">
        <v>0</v>
      </c>
      <c r="K82" s="88"/>
      <c r="L82" s="86">
        <f t="shared" si="7"/>
        <v>0</v>
      </c>
    </row>
    <row r="83" spans="1:12" ht="18.75" customHeight="1" hidden="1">
      <c r="A83" s="20" t="s">
        <v>71</v>
      </c>
      <c r="B83" s="121" t="s">
        <v>72</v>
      </c>
      <c r="C83" s="121"/>
      <c r="D83" s="121"/>
      <c r="E83" s="121"/>
      <c r="F83" s="19"/>
      <c r="G83" s="18"/>
      <c r="H83" s="87">
        <v>35812</v>
      </c>
      <c r="I83" s="88">
        <v>0</v>
      </c>
      <c r="J83" s="88">
        <v>0</v>
      </c>
      <c r="K83" s="88"/>
      <c r="L83" s="86">
        <f t="shared" si="7"/>
        <v>0</v>
      </c>
    </row>
    <row r="84" spans="1:12" ht="18.75" customHeight="1" hidden="1">
      <c r="A84" s="20" t="s">
        <v>73</v>
      </c>
      <c r="B84" s="142" t="s">
        <v>120</v>
      </c>
      <c r="C84" s="121"/>
      <c r="D84" s="121"/>
      <c r="E84" s="121"/>
      <c r="F84" s="19"/>
      <c r="G84" s="18"/>
      <c r="H84" s="87">
        <v>2510.5</v>
      </c>
      <c r="I84" s="88">
        <v>0</v>
      </c>
      <c r="J84" s="88">
        <v>0</v>
      </c>
      <c r="K84" s="88"/>
      <c r="L84" s="86">
        <f t="shared" si="7"/>
        <v>0</v>
      </c>
    </row>
    <row r="85" spans="1:12" ht="18.75" customHeight="1" hidden="1">
      <c r="A85" s="20" t="s">
        <v>74</v>
      </c>
      <c r="B85" s="123" t="s">
        <v>75</v>
      </c>
      <c r="C85" s="123"/>
      <c r="D85" s="123"/>
      <c r="E85" s="123"/>
      <c r="F85" s="19"/>
      <c r="G85" s="18"/>
      <c r="H85" s="87">
        <v>48608.7</v>
      </c>
      <c r="I85" s="88">
        <v>0</v>
      </c>
      <c r="J85" s="88">
        <v>0</v>
      </c>
      <c r="K85" s="88"/>
      <c r="L85" s="86">
        <f t="shared" si="7"/>
        <v>0</v>
      </c>
    </row>
    <row r="86" spans="1:12" ht="18.75" customHeight="1" hidden="1">
      <c r="A86" s="20" t="s">
        <v>76</v>
      </c>
      <c r="B86" s="121" t="s">
        <v>77</v>
      </c>
      <c r="C86" s="121"/>
      <c r="D86" s="121"/>
      <c r="E86" s="121"/>
      <c r="F86" s="19"/>
      <c r="G86" s="18"/>
      <c r="H86" s="87">
        <v>2276.4</v>
      </c>
      <c r="I86" s="88"/>
      <c r="J86" s="88"/>
      <c r="K86" s="88"/>
      <c r="L86" s="86">
        <f t="shared" si="7"/>
        <v>0</v>
      </c>
    </row>
    <row r="87" spans="1:12" ht="18.75" customHeight="1" hidden="1">
      <c r="A87" s="20" t="s">
        <v>115</v>
      </c>
      <c r="B87" s="142" t="s">
        <v>122</v>
      </c>
      <c r="C87" s="121"/>
      <c r="D87" s="121"/>
      <c r="E87" s="121"/>
      <c r="F87" s="19"/>
      <c r="G87" s="18"/>
      <c r="H87" s="87">
        <v>2276.4</v>
      </c>
      <c r="I87" s="88">
        <v>0</v>
      </c>
      <c r="J87" s="88">
        <v>0</v>
      </c>
      <c r="K87" s="88"/>
      <c r="L87" s="86">
        <f t="shared" si="7"/>
        <v>0</v>
      </c>
    </row>
    <row r="88" spans="1:12" ht="32.25" customHeight="1">
      <c r="A88" s="4" t="s">
        <v>78</v>
      </c>
      <c r="B88" s="134" t="s">
        <v>79</v>
      </c>
      <c r="C88" s="134"/>
      <c r="D88" s="134"/>
      <c r="E88" s="134"/>
      <c r="F88" s="19"/>
      <c r="G88" s="18"/>
      <c r="H88" s="85">
        <f>SUM(H89:H93)</f>
        <v>24171.7</v>
      </c>
      <c r="I88" s="85">
        <f>SUM(I89:I93)</f>
        <v>28245</v>
      </c>
      <c r="J88" s="85">
        <f>SUM(J89:J93)</f>
        <v>20046.7</v>
      </c>
      <c r="K88" s="85">
        <f>SUM(K89:K93)</f>
        <v>28297.7</v>
      </c>
      <c r="L88" s="86">
        <f t="shared" si="7"/>
        <v>52.70000000000073</v>
      </c>
    </row>
    <row r="89" spans="1:12" ht="30" customHeight="1">
      <c r="A89" s="20" t="s">
        <v>80</v>
      </c>
      <c r="B89" s="123" t="s">
        <v>81</v>
      </c>
      <c r="C89" s="123"/>
      <c r="D89" s="123"/>
      <c r="E89" s="123"/>
      <c r="F89" s="19"/>
      <c r="G89" s="18"/>
      <c r="H89" s="87">
        <v>2477</v>
      </c>
      <c r="I89" s="88">
        <v>2610</v>
      </c>
      <c r="J89" s="88">
        <v>1875.5</v>
      </c>
      <c r="K89" s="88">
        <v>2610</v>
      </c>
      <c r="L89" s="89">
        <f>K89-I89</f>
        <v>0</v>
      </c>
    </row>
    <row r="90" spans="1:12" ht="18.75" customHeight="1" hidden="1">
      <c r="A90" s="20" t="s">
        <v>82</v>
      </c>
      <c r="B90" s="123" t="s">
        <v>83</v>
      </c>
      <c r="C90" s="123"/>
      <c r="D90" s="123"/>
      <c r="E90" s="123"/>
      <c r="F90" s="19"/>
      <c r="G90" s="18"/>
      <c r="H90" s="87"/>
      <c r="I90" s="88"/>
      <c r="J90" s="88"/>
      <c r="K90" s="88"/>
      <c r="L90" s="89">
        <f>K90-I90</f>
        <v>0</v>
      </c>
    </row>
    <row r="91" spans="1:12" ht="27.75" customHeight="1">
      <c r="A91" s="20" t="s">
        <v>84</v>
      </c>
      <c r="B91" s="123" t="s">
        <v>85</v>
      </c>
      <c r="C91" s="123"/>
      <c r="D91" s="123"/>
      <c r="E91" s="123"/>
      <c r="F91" s="19"/>
      <c r="G91" s="18"/>
      <c r="H91" s="87">
        <v>11789.1</v>
      </c>
      <c r="I91" s="88">
        <v>17431.8</v>
      </c>
      <c r="J91" s="88">
        <v>12549.7</v>
      </c>
      <c r="K91" s="88">
        <f>17431.8-256.8+309.5</f>
        <v>17484.5</v>
      </c>
      <c r="L91" s="89">
        <f>K91-I91</f>
        <v>52.70000000000073</v>
      </c>
    </row>
    <row r="92" spans="1:12" ht="32.25" customHeight="1">
      <c r="A92" s="20" t="s">
        <v>86</v>
      </c>
      <c r="B92" s="123" t="s">
        <v>87</v>
      </c>
      <c r="C92" s="123"/>
      <c r="D92" s="123"/>
      <c r="E92" s="123"/>
      <c r="F92" s="19"/>
      <c r="G92" s="18"/>
      <c r="H92" s="87">
        <v>8411.6</v>
      </c>
      <c r="I92" s="88">
        <v>6779.2</v>
      </c>
      <c r="J92" s="88">
        <v>4554</v>
      </c>
      <c r="K92" s="88">
        <v>6779.2</v>
      </c>
      <c r="L92" s="89">
        <f>K92-I92</f>
        <v>0</v>
      </c>
    </row>
    <row r="93" spans="1:12" ht="33" customHeight="1">
      <c r="A93" s="20" t="s">
        <v>88</v>
      </c>
      <c r="B93" s="123" t="s">
        <v>89</v>
      </c>
      <c r="C93" s="123"/>
      <c r="D93" s="123"/>
      <c r="E93" s="123"/>
      <c r="F93" s="19"/>
      <c r="G93" s="18"/>
      <c r="H93" s="87">
        <v>1494</v>
      </c>
      <c r="I93" s="88">
        <v>1424</v>
      </c>
      <c r="J93" s="88">
        <v>1067.5</v>
      </c>
      <c r="K93" s="88">
        <v>1424</v>
      </c>
      <c r="L93" s="89">
        <f>K93-I93</f>
        <v>0</v>
      </c>
    </row>
    <row r="94" spans="1:252" s="79" customFormat="1" ht="32.25" customHeight="1">
      <c r="A94" s="4" t="s">
        <v>111</v>
      </c>
      <c r="B94" s="135" t="s">
        <v>77</v>
      </c>
      <c r="C94" s="135"/>
      <c r="D94" s="135"/>
      <c r="E94" s="135"/>
      <c r="F94" s="1"/>
      <c r="G94" s="1"/>
      <c r="H94" s="85">
        <f>SUM(H95:H96)</f>
        <v>15446.6</v>
      </c>
      <c r="I94" s="85">
        <f>SUM(I95:I96)</f>
        <v>162375.1</v>
      </c>
      <c r="J94" s="85">
        <f>SUM(J95:J96)</f>
        <v>22221.8</v>
      </c>
      <c r="K94" s="85">
        <f>SUM(K95:K96)</f>
        <v>161519.2</v>
      </c>
      <c r="L94" s="86">
        <f>SUM(L95:L96)</f>
        <v>-855.8999999999942</v>
      </c>
      <c r="M94" s="2"/>
      <c r="N94" s="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252" s="77" customFormat="1" ht="32.25" customHeight="1">
      <c r="A95" s="20" t="s">
        <v>116</v>
      </c>
      <c r="B95" s="136" t="s">
        <v>118</v>
      </c>
      <c r="C95" s="136"/>
      <c r="D95" s="136"/>
      <c r="E95" s="136"/>
      <c r="F95" s="24"/>
      <c r="G95" s="24"/>
      <c r="H95" s="87">
        <v>12601.5</v>
      </c>
      <c r="I95" s="88">
        <v>159237.2</v>
      </c>
      <c r="J95" s="88">
        <v>19984.8</v>
      </c>
      <c r="K95" s="88">
        <f>159237.2-855.9</f>
        <v>158381.30000000002</v>
      </c>
      <c r="L95" s="89">
        <f t="shared" si="7"/>
        <v>-855.8999999999942</v>
      </c>
      <c r="M95" s="25"/>
      <c r="N95" s="8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</row>
    <row r="96" spans="1:252" s="77" customFormat="1" ht="43.5" customHeight="1">
      <c r="A96" s="20" t="s">
        <v>117</v>
      </c>
      <c r="B96" s="141" t="s">
        <v>119</v>
      </c>
      <c r="C96" s="136"/>
      <c r="D96" s="136"/>
      <c r="E96" s="136"/>
      <c r="F96" s="24"/>
      <c r="G96" s="24"/>
      <c r="H96" s="87">
        <v>2845.1</v>
      </c>
      <c r="I96" s="88">
        <v>3137.9</v>
      </c>
      <c r="J96" s="88">
        <v>2237</v>
      </c>
      <c r="K96" s="88">
        <v>3137.9</v>
      </c>
      <c r="L96" s="89">
        <f t="shared" si="7"/>
        <v>0</v>
      </c>
      <c r="M96" s="25"/>
      <c r="N96" s="8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</row>
    <row r="97" spans="1:252" s="79" customFormat="1" ht="32.25" customHeight="1">
      <c r="A97" s="4" t="s">
        <v>105</v>
      </c>
      <c r="B97" s="135" t="s">
        <v>112</v>
      </c>
      <c r="C97" s="135"/>
      <c r="D97" s="135"/>
      <c r="E97" s="135"/>
      <c r="F97" s="1"/>
      <c r="G97" s="1"/>
      <c r="H97" s="85">
        <f>H98</f>
        <v>1467</v>
      </c>
      <c r="I97" s="85">
        <f>I98</f>
        <v>1562.5</v>
      </c>
      <c r="J97" s="85">
        <f>J98</f>
        <v>1132.5</v>
      </c>
      <c r="K97" s="85">
        <f>K98</f>
        <v>1562.5</v>
      </c>
      <c r="L97" s="86">
        <f>L98</f>
        <v>0</v>
      </c>
      <c r="M97" s="2"/>
      <c r="N97" s="8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77" customFormat="1" ht="27" customHeight="1">
      <c r="A98" s="20" t="s">
        <v>106</v>
      </c>
      <c r="B98" s="136" t="s">
        <v>66</v>
      </c>
      <c r="C98" s="136"/>
      <c r="D98" s="136"/>
      <c r="E98" s="136"/>
      <c r="F98" s="24"/>
      <c r="G98" s="24"/>
      <c r="H98" s="87">
        <v>1467</v>
      </c>
      <c r="I98" s="88">
        <v>1562.5</v>
      </c>
      <c r="J98" s="88">
        <v>1132.5</v>
      </c>
      <c r="K98" s="88">
        <v>1562.5</v>
      </c>
      <c r="L98" s="89">
        <f t="shared" si="7"/>
        <v>0</v>
      </c>
      <c r="M98" s="25"/>
      <c r="N98" s="8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</row>
    <row r="99" spans="1:252" s="79" customFormat="1" ht="40.5" customHeight="1">
      <c r="A99" s="4" t="s">
        <v>107</v>
      </c>
      <c r="B99" s="139" t="s">
        <v>113</v>
      </c>
      <c r="C99" s="135"/>
      <c r="D99" s="135"/>
      <c r="E99" s="135"/>
      <c r="F99" s="1"/>
      <c r="G99" s="1"/>
      <c r="H99" s="85">
        <f>SUM(H106)</f>
        <v>15901</v>
      </c>
      <c r="I99" s="85">
        <f>SUM(I106)</f>
        <v>19015.4</v>
      </c>
      <c r="J99" s="85">
        <f>SUM(J106)</f>
        <v>10298.1</v>
      </c>
      <c r="K99" s="85">
        <f>SUM(K106)</f>
        <v>17315.4</v>
      </c>
      <c r="L99" s="86">
        <f>SUM(L106)</f>
        <v>-1700</v>
      </c>
      <c r="M99" s="2"/>
      <c r="N99" s="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s="77" customFormat="1" ht="18.75" customHeight="1" hidden="1">
      <c r="A100" s="20" t="s">
        <v>99</v>
      </c>
      <c r="B100" s="23"/>
      <c r="C100" s="23"/>
      <c r="D100" s="23"/>
      <c r="E100" s="23"/>
      <c r="F100" s="24"/>
      <c r="G100" s="24"/>
      <c r="H100" s="88"/>
      <c r="I100" s="88"/>
      <c r="J100" s="88"/>
      <c r="K100" s="88"/>
      <c r="L100" s="86">
        <f aca="true" t="shared" si="9" ref="L100:L105">SUM(L107)</f>
        <v>-15019.231269999877</v>
      </c>
      <c r="M100" s="25"/>
      <c r="N100" s="8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</row>
    <row r="101" spans="1:252" s="77" customFormat="1" ht="18.75" customHeight="1" hidden="1">
      <c r="A101" s="20" t="s">
        <v>100</v>
      </c>
      <c r="B101" s="23"/>
      <c r="C101" s="23"/>
      <c r="D101" s="23"/>
      <c r="E101" s="23"/>
      <c r="F101" s="24"/>
      <c r="G101" s="24"/>
      <c r="H101" s="88"/>
      <c r="I101" s="88"/>
      <c r="J101" s="88"/>
      <c r="K101" s="88"/>
      <c r="L101" s="86">
        <f t="shared" si="9"/>
        <v>0.031269999919459224</v>
      </c>
      <c r="M101" s="25"/>
      <c r="N101" s="8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</row>
    <row r="102" spans="1:252" s="77" customFormat="1" ht="18.75" customHeight="1" hidden="1">
      <c r="A102" s="20" t="s">
        <v>101</v>
      </c>
      <c r="B102" s="23"/>
      <c r="C102" s="23"/>
      <c r="D102" s="23"/>
      <c r="E102" s="23"/>
      <c r="F102" s="24"/>
      <c r="G102" s="24"/>
      <c r="H102" s="88"/>
      <c r="I102" s="88"/>
      <c r="J102" s="88"/>
      <c r="K102" s="88"/>
      <c r="L102" s="86">
        <f t="shared" si="9"/>
        <v>0</v>
      </c>
      <c r="M102" s="25"/>
      <c r="N102" s="8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</row>
    <row r="103" spans="1:252" s="77" customFormat="1" ht="18.75" customHeight="1" hidden="1">
      <c r="A103" s="20" t="s">
        <v>102</v>
      </c>
      <c r="B103" s="23"/>
      <c r="C103" s="23"/>
      <c r="D103" s="23"/>
      <c r="E103" s="23"/>
      <c r="F103" s="24"/>
      <c r="G103" s="24"/>
      <c r="H103" s="88"/>
      <c r="I103" s="88"/>
      <c r="J103" s="88"/>
      <c r="K103" s="88"/>
      <c r="L103" s="86">
        <f t="shared" si="9"/>
        <v>-0.031270000039512524</v>
      </c>
      <c r="M103" s="25"/>
      <c r="N103" s="8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</row>
    <row r="104" spans="1:252" s="77" customFormat="1" ht="18.75" customHeight="1" hidden="1">
      <c r="A104" s="20" t="s">
        <v>103</v>
      </c>
      <c r="B104" s="23"/>
      <c r="C104" s="23"/>
      <c r="D104" s="23"/>
      <c r="E104" s="23"/>
      <c r="F104" s="24"/>
      <c r="G104" s="24"/>
      <c r="H104" s="88"/>
      <c r="I104" s="88"/>
      <c r="J104" s="88"/>
      <c r="K104" s="88"/>
      <c r="L104" s="86">
        <f t="shared" si="9"/>
        <v>0</v>
      </c>
      <c r="M104" s="25"/>
      <c r="N104" s="8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</row>
    <row r="105" spans="1:252" s="77" customFormat="1" ht="18.75" customHeight="1" hidden="1">
      <c r="A105" s="20" t="s">
        <v>104</v>
      </c>
      <c r="B105" s="23"/>
      <c r="C105" s="23"/>
      <c r="D105" s="23"/>
      <c r="E105" s="23"/>
      <c r="F105" s="24"/>
      <c r="G105" s="24"/>
      <c r="H105" s="88"/>
      <c r="I105" s="88"/>
      <c r="J105" s="88"/>
      <c r="K105" s="88"/>
      <c r="L105" s="86">
        <f t="shared" si="9"/>
        <v>0</v>
      </c>
      <c r="M105" s="25"/>
      <c r="N105" s="8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</row>
    <row r="106" spans="1:252" s="77" customFormat="1" ht="40.5" customHeight="1">
      <c r="A106" s="20" t="s">
        <v>108</v>
      </c>
      <c r="B106" s="140" t="s">
        <v>29</v>
      </c>
      <c r="C106" s="140"/>
      <c r="D106" s="140"/>
      <c r="E106" s="140"/>
      <c r="F106" s="24"/>
      <c r="G106" s="24"/>
      <c r="H106" s="87">
        <v>15901</v>
      </c>
      <c r="I106" s="88">
        <v>19015.4</v>
      </c>
      <c r="J106" s="88">
        <v>10298.1</v>
      </c>
      <c r="K106" s="88">
        <f>19015.4-1700</f>
        <v>17315.4</v>
      </c>
      <c r="L106" s="89">
        <f>K106-I106</f>
        <v>-1700</v>
      </c>
      <c r="M106" s="25"/>
      <c r="N106" s="8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</row>
    <row r="107" spans="1:252" s="77" customFormat="1" ht="36.75" customHeight="1">
      <c r="A107" s="127" t="s">
        <v>90</v>
      </c>
      <c r="B107" s="128"/>
      <c r="C107" s="128"/>
      <c r="D107" s="128"/>
      <c r="E107" s="128"/>
      <c r="F107" s="19"/>
      <c r="G107" s="18"/>
      <c r="H107" s="85">
        <f>H45+H54+H58+H63+H71+H77+H88+H94+H97+H99+H68</f>
        <v>1322396.7000000002</v>
      </c>
      <c r="I107" s="85">
        <f>I45+I54+I58+I63+I71+I77+I88+I94+I97+I99+I68</f>
        <v>2052200.3974199998</v>
      </c>
      <c r="J107" s="85">
        <f>J45+J54+J58+J63+J71+J77+J88+J94+J97+J99+J68</f>
        <v>1106721.53584</v>
      </c>
      <c r="K107" s="85">
        <f>K45+K54+K58+K63+K71+K77+K88+K94+K97+K99+K68</f>
        <v>2037181.16615</v>
      </c>
      <c r="L107" s="86">
        <f>L99+L97+L94+L88+L81+L77+L71+L63+L58+L54+L45+L68</f>
        <v>-15019.231269999877</v>
      </c>
      <c r="M107" s="25"/>
      <c r="N107" s="8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</row>
    <row r="108" spans="1:12" ht="39" customHeight="1">
      <c r="A108" s="129" t="s">
        <v>93</v>
      </c>
      <c r="B108" s="130"/>
      <c r="C108" s="130"/>
      <c r="D108" s="130"/>
      <c r="E108" s="130"/>
      <c r="F108" s="19"/>
      <c r="G108" s="80"/>
      <c r="H108" s="38">
        <f>H40-H107</f>
        <v>82.6999999997206</v>
      </c>
      <c r="I108" s="38">
        <f>I40-I107</f>
        <v>-23073.597419999773</v>
      </c>
      <c r="J108" s="38">
        <f>J40-J107</f>
        <v>28132.364160000114</v>
      </c>
      <c r="K108" s="38">
        <f>K40-K107</f>
        <v>-23073.566149999853</v>
      </c>
      <c r="L108" s="41">
        <f>K108-I108+L123</f>
        <v>0.031269999919459224</v>
      </c>
    </row>
    <row r="109" spans="1:12" ht="18.75" customHeight="1" hidden="1">
      <c r="A109" s="127"/>
      <c r="B109" s="128"/>
      <c r="C109" s="128"/>
      <c r="D109" s="128"/>
      <c r="E109" s="128"/>
      <c r="F109" s="19"/>
      <c r="G109" s="80"/>
      <c r="H109" s="38"/>
      <c r="I109" s="42"/>
      <c r="J109" s="42"/>
      <c r="K109" s="42"/>
      <c r="L109" s="81">
        <f aca="true" t="shared" si="10" ref="L109:L116">K109-I109</f>
        <v>0</v>
      </c>
    </row>
    <row r="110" spans="1:12" ht="69.75" customHeight="1">
      <c r="A110" s="129" t="s">
        <v>157</v>
      </c>
      <c r="B110" s="130"/>
      <c r="C110" s="130"/>
      <c r="D110" s="130"/>
      <c r="E110" s="130"/>
      <c r="F110" s="19"/>
      <c r="G110" s="80"/>
      <c r="H110" s="38">
        <f>H107-H40</f>
        <v>-82.6999999997206</v>
      </c>
      <c r="I110" s="38">
        <f>I107-I40</f>
        <v>23073.597419999773</v>
      </c>
      <c r="J110" s="38">
        <f>J107-J40</f>
        <v>-28132.364160000114</v>
      </c>
      <c r="K110" s="38">
        <f>K107-K40</f>
        <v>23073.566149999853</v>
      </c>
      <c r="L110" s="39">
        <f>L107-L40</f>
        <v>-0.031270000039512524</v>
      </c>
    </row>
    <row r="111" spans="1:12" ht="18.75" customHeight="1" hidden="1">
      <c r="A111" s="133"/>
      <c r="B111" s="134"/>
      <c r="C111" s="134"/>
      <c r="D111" s="134"/>
      <c r="E111" s="134"/>
      <c r="F111" s="134"/>
      <c r="G111" s="80"/>
      <c r="H111" s="42"/>
      <c r="I111" s="42"/>
      <c r="J111" s="42"/>
      <c r="K111" s="42"/>
      <c r="L111" s="41">
        <f t="shared" si="10"/>
        <v>0</v>
      </c>
    </row>
    <row r="112" spans="1:12" ht="18.75" customHeight="1" hidden="1">
      <c r="A112" s="133"/>
      <c r="B112" s="134"/>
      <c r="C112" s="134"/>
      <c r="D112" s="134"/>
      <c r="E112" s="134"/>
      <c r="F112" s="134"/>
      <c r="G112" s="80"/>
      <c r="H112" s="42"/>
      <c r="I112" s="42"/>
      <c r="J112" s="42"/>
      <c r="K112" s="42"/>
      <c r="L112" s="41">
        <f t="shared" si="10"/>
        <v>0</v>
      </c>
    </row>
    <row r="113" spans="1:12" ht="18.75" customHeight="1" hidden="1">
      <c r="A113" s="122" t="s">
        <v>94</v>
      </c>
      <c r="B113" s="123"/>
      <c r="C113" s="123"/>
      <c r="D113" s="123"/>
      <c r="E113" s="123"/>
      <c r="F113" s="123"/>
      <c r="G113" s="80"/>
      <c r="H113" s="42"/>
      <c r="I113" s="42"/>
      <c r="J113" s="43">
        <f>J114</f>
        <v>0</v>
      </c>
      <c r="K113" s="42"/>
      <c r="L113" s="41">
        <f t="shared" si="10"/>
        <v>0</v>
      </c>
    </row>
    <row r="114" spans="1:12" ht="18.75" customHeight="1" hidden="1">
      <c r="A114" s="131" t="s">
        <v>95</v>
      </c>
      <c r="B114" s="132"/>
      <c r="C114" s="132"/>
      <c r="D114" s="132"/>
      <c r="E114" s="132"/>
      <c r="F114" s="132"/>
      <c r="G114" s="80"/>
      <c r="H114" s="42"/>
      <c r="I114" s="42"/>
      <c r="J114" s="44"/>
      <c r="K114" s="42"/>
      <c r="L114" s="41">
        <f t="shared" si="10"/>
        <v>0</v>
      </c>
    </row>
    <row r="115" spans="1:12" ht="18.75" customHeight="1" hidden="1">
      <c r="A115" s="122" t="s">
        <v>94</v>
      </c>
      <c r="B115" s="123"/>
      <c r="C115" s="123"/>
      <c r="D115" s="123"/>
      <c r="E115" s="123"/>
      <c r="F115" s="123"/>
      <c r="G115" s="80"/>
      <c r="H115" s="42"/>
      <c r="I115" s="42"/>
      <c r="J115" s="43">
        <f>SUM(J116)</f>
        <v>0</v>
      </c>
      <c r="K115" s="42"/>
      <c r="L115" s="41">
        <f t="shared" si="10"/>
        <v>0</v>
      </c>
    </row>
    <row r="116" spans="1:12" ht="18.75" customHeight="1" hidden="1">
      <c r="A116" s="131" t="s">
        <v>96</v>
      </c>
      <c r="B116" s="132"/>
      <c r="C116" s="132"/>
      <c r="D116" s="132"/>
      <c r="E116" s="132"/>
      <c r="F116" s="132"/>
      <c r="G116" s="80"/>
      <c r="H116" s="42"/>
      <c r="I116" s="42"/>
      <c r="J116" s="44"/>
      <c r="K116" s="42"/>
      <c r="L116" s="41">
        <f t="shared" si="10"/>
        <v>0</v>
      </c>
    </row>
    <row r="117" spans="1:12" ht="53.25" customHeight="1">
      <c r="A117" s="133" t="s">
        <v>97</v>
      </c>
      <c r="B117" s="134"/>
      <c r="C117" s="134"/>
      <c r="D117" s="134"/>
      <c r="E117" s="134"/>
      <c r="F117" s="134"/>
      <c r="G117" s="80"/>
      <c r="H117" s="40">
        <f>SUM(H118:H119)</f>
        <v>19000</v>
      </c>
      <c r="I117" s="40">
        <f>SUM(I118:I119)</f>
        <v>0</v>
      </c>
      <c r="J117" s="40">
        <f>SUM(J118:J119)</f>
        <v>0</v>
      </c>
      <c r="K117" s="40">
        <f>SUM(K118:K119)</f>
        <v>0</v>
      </c>
      <c r="L117" s="41">
        <f>SUM(L118:L119)</f>
        <v>0</v>
      </c>
    </row>
    <row r="118" spans="1:12" ht="63" customHeight="1">
      <c r="A118" s="122" t="s">
        <v>168</v>
      </c>
      <c r="B118" s="123"/>
      <c r="C118" s="123"/>
      <c r="D118" s="123"/>
      <c r="E118" s="123"/>
      <c r="F118" s="123"/>
      <c r="G118" s="80"/>
      <c r="H118" s="40">
        <v>154000</v>
      </c>
      <c r="I118" s="40">
        <v>470000</v>
      </c>
      <c r="J118" s="40">
        <v>470000</v>
      </c>
      <c r="K118" s="40">
        <v>470000</v>
      </c>
      <c r="L118" s="41">
        <f>SUM(K118-I118)</f>
        <v>0</v>
      </c>
    </row>
    <row r="119" spans="1:12" ht="39.75" customHeight="1">
      <c r="A119" s="122" t="s">
        <v>167</v>
      </c>
      <c r="B119" s="123"/>
      <c r="C119" s="123"/>
      <c r="D119" s="123"/>
      <c r="E119" s="123"/>
      <c r="F119" s="123"/>
      <c r="G119" s="80"/>
      <c r="H119" s="40">
        <v>-135000</v>
      </c>
      <c r="I119" s="40">
        <v>-470000</v>
      </c>
      <c r="J119" s="40">
        <v>-470000</v>
      </c>
      <c r="K119" s="40">
        <v>-470000</v>
      </c>
      <c r="L119" s="41">
        <f>SUM(K119-I119)</f>
        <v>0</v>
      </c>
    </row>
    <row r="120" spans="1:12" ht="60.75" customHeight="1">
      <c r="A120" s="122" t="s">
        <v>161</v>
      </c>
      <c r="B120" s="123"/>
      <c r="C120" s="123"/>
      <c r="D120" s="123"/>
      <c r="E120" s="123"/>
      <c r="F120" s="123"/>
      <c r="G120" s="80"/>
      <c r="H120" s="40">
        <v>201000</v>
      </c>
      <c r="I120" s="40">
        <v>114000</v>
      </c>
      <c r="J120" s="40">
        <v>114000</v>
      </c>
      <c r="K120" s="40">
        <v>114000</v>
      </c>
      <c r="L120" s="41">
        <f>SUM(K120-I120)</f>
        <v>0</v>
      </c>
    </row>
    <row r="121" spans="1:12" ht="83.25" customHeight="1">
      <c r="A121" s="122" t="s">
        <v>160</v>
      </c>
      <c r="B121" s="123"/>
      <c r="C121" s="123"/>
      <c r="D121" s="123"/>
      <c r="E121" s="123"/>
      <c r="F121" s="123"/>
      <c r="G121" s="80"/>
      <c r="H121" s="40">
        <v>-201000</v>
      </c>
      <c r="I121" s="40">
        <v>-114000</v>
      </c>
      <c r="J121" s="40">
        <v>-62500</v>
      </c>
      <c r="K121" s="40">
        <v>-114000</v>
      </c>
      <c r="L121" s="41">
        <f>SUM(K121-I121)</f>
        <v>0</v>
      </c>
    </row>
    <row r="122" spans="1:12" ht="63.75" customHeight="1">
      <c r="A122" s="120" t="s">
        <v>162</v>
      </c>
      <c r="B122" s="121"/>
      <c r="C122" s="121"/>
      <c r="D122" s="121"/>
      <c r="E122" s="121"/>
      <c r="F122" s="14"/>
      <c r="G122" s="80"/>
      <c r="H122" s="40">
        <v>0</v>
      </c>
      <c r="I122" s="40">
        <v>0</v>
      </c>
      <c r="J122" s="40">
        <v>0</v>
      </c>
      <c r="K122" s="40">
        <v>0</v>
      </c>
      <c r="L122" s="41">
        <v>0</v>
      </c>
    </row>
    <row r="123" spans="1:12" ht="57" customHeight="1">
      <c r="A123" s="124" t="s">
        <v>123</v>
      </c>
      <c r="B123" s="125"/>
      <c r="C123" s="125"/>
      <c r="D123" s="125"/>
      <c r="E123" s="125"/>
      <c r="F123" s="125"/>
      <c r="G123" s="80"/>
      <c r="H123" s="40">
        <v>0</v>
      </c>
      <c r="I123" s="40">
        <v>0</v>
      </c>
      <c r="J123" s="40">
        <v>0</v>
      </c>
      <c r="K123" s="40">
        <v>0</v>
      </c>
      <c r="L123" s="41">
        <v>0</v>
      </c>
    </row>
    <row r="124" spans="1:13" s="84" customFormat="1" ht="32.25" customHeight="1" thickBot="1">
      <c r="A124" s="137" t="s">
        <v>158</v>
      </c>
      <c r="B124" s="138"/>
      <c r="C124" s="138"/>
      <c r="D124" s="138"/>
      <c r="E124" s="138"/>
      <c r="F124" s="138"/>
      <c r="G124" s="82"/>
      <c r="H124" s="45">
        <f>H110-H117-H123</f>
        <v>-19082.69999999972</v>
      </c>
      <c r="I124" s="45">
        <f>I110-I117-I123</f>
        <v>23073.597419999773</v>
      </c>
      <c r="J124" s="45">
        <v>-79632.4</v>
      </c>
      <c r="K124" s="45">
        <f>K110-K117-K123</f>
        <v>23073.566149999853</v>
      </c>
      <c r="L124" s="108">
        <v>0</v>
      </c>
      <c r="M124" s="83">
        <f>M110-M117-M123</f>
        <v>0</v>
      </c>
    </row>
    <row r="125" spans="1:13" s="84" customFormat="1" ht="18.7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8"/>
    </row>
  </sheetData>
  <sheetProtection/>
  <mergeCells count="118">
    <mergeCell ref="B69:E69"/>
    <mergeCell ref="A14:E14"/>
    <mergeCell ref="A16:E16"/>
    <mergeCell ref="A8:F8"/>
    <mergeCell ref="A32:F32"/>
    <mergeCell ref="A33:F33"/>
    <mergeCell ref="A30:F30"/>
    <mergeCell ref="A25:F25"/>
    <mergeCell ref="A23:F23"/>
    <mergeCell ref="A39:F39"/>
    <mergeCell ref="A10:F10"/>
    <mergeCell ref="A24:F24"/>
    <mergeCell ref="A15:F15"/>
    <mergeCell ref="B64:E64"/>
    <mergeCell ref="A44:F44"/>
    <mergeCell ref="A29:F29"/>
    <mergeCell ref="A27:E27"/>
    <mergeCell ref="A13:E13"/>
    <mergeCell ref="A35:E35"/>
    <mergeCell ref="A36:E36"/>
    <mergeCell ref="A38:E38"/>
    <mergeCell ref="A34:F34"/>
    <mergeCell ref="A37:F37"/>
    <mergeCell ref="A21:F21"/>
    <mergeCell ref="A31:E31"/>
    <mergeCell ref="A22:E22"/>
    <mergeCell ref="B80:E80"/>
    <mergeCell ref="A28:F28"/>
    <mergeCell ref="A40:E40"/>
    <mergeCell ref="B78:E78"/>
    <mergeCell ref="B45:E45"/>
    <mergeCell ref="B46:E46"/>
    <mergeCell ref="B47:E47"/>
    <mergeCell ref="B48:E48"/>
    <mergeCell ref="B49:E49"/>
    <mergeCell ref="B50:E50"/>
    <mergeCell ref="B75:E75"/>
    <mergeCell ref="B88:E88"/>
    <mergeCell ref="B81:E81"/>
    <mergeCell ref="A1:L1"/>
    <mergeCell ref="H4:H6"/>
    <mergeCell ref="G4:G6"/>
    <mergeCell ref="A4:F6"/>
    <mergeCell ref="I4:I6"/>
    <mergeCell ref="L4:L6"/>
    <mergeCell ref="J4:K5"/>
    <mergeCell ref="B65:E65"/>
    <mergeCell ref="B58:E58"/>
    <mergeCell ref="B59:E59"/>
    <mergeCell ref="B61:E61"/>
    <mergeCell ref="B62:E62"/>
    <mergeCell ref="B63:E63"/>
    <mergeCell ref="M4:M6"/>
    <mergeCell ref="A26:F26"/>
    <mergeCell ref="A20:F20"/>
    <mergeCell ref="A17:F17"/>
    <mergeCell ref="A18:F18"/>
    <mergeCell ref="A7:F7"/>
    <mergeCell ref="A9:F9"/>
    <mergeCell ref="A12:F12"/>
    <mergeCell ref="A11:E11"/>
    <mergeCell ref="A19:F19"/>
    <mergeCell ref="B82:E82"/>
    <mergeCell ref="B76:E76"/>
    <mergeCell ref="B86:E86"/>
    <mergeCell ref="B51:E51"/>
    <mergeCell ref="B52:E52"/>
    <mergeCell ref="B53:E53"/>
    <mergeCell ref="B54:E54"/>
    <mergeCell ref="B57:E57"/>
    <mergeCell ref="B60:E60"/>
    <mergeCell ref="B55:E55"/>
    <mergeCell ref="B87:E87"/>
    <mergeCell ref="B56:E56"/>
    <mergeCell ref="B83:E83"/>
    <mergeCell ref="B84:E84"/>
    <mergeCell ref="B85:E85"/>
    <mergeCell ref="B66:E66"/>
    <mergeCell ref="B67:E67"/>
    <mergeCell ref="B77:E77"/>
    <mergeCell ref="B71:E71"/>
    <mergeCell ref="B79:E79"/>
    <mergeCell ref="B72:E72"/>
    <mergeCell ref="B73:E73"/>
    <mergeCell ref="A112:F112"/>
    <mergeCell ref="A113:F113"/>
    <mergeCell ref="A108:E108"/>
    <mergeCell ref="B96:E96"/>
    <mergeCell ref="B89:E89"/>
    <mergeCell ref="B90:E90"/>
    <mergeCell ref="B91:E91"/>
    <mergeCell ref="B92:E92"/>
    <mergeCell ref="B95:E95"/>
    <mergeCell ref="A124:F124"/>
    <mergeCell ref="B99:E99"/>
    <mergeCell ref="B106:E106"/>
    <mergeCell ref="A107:E107"/>
    <mergeCell ref="A119:F119"/>
    <mergeCell ref="A123:F123"/>
    <mergeCell ref="A125:L125"/>
    <mergeCell ref="A109:E109"/>
    <mergeCell ref="A110:E110"/>
    <mergeCell ref="A116:F116"/>
    <mergeCell ref="A117:F117"/>
    <mergeCell ref="A118:F118"/>
    <mergeCell ref="A115:F115"/>
    <mergeCell ref="A111:F111"/>
    <mergeCell ref="A114:F114"/>
    <mergeCell ref="B68:E68"/>
    <mergeCell ref="B70:E70"/>
    <mergeCell ref="B74:E74"/>
    <mergeCell ref="A122:E122"/>
    <mergeCell ref="A120:F120"/>
    <mergeCell ref="A121:F121"/>
    <mergeCell ref="B93:E93"/>
    <mergeCell ref="B94:E94"/>
    <mergeCell ref="B97:E97"/>
    <mergeCell ref="B98:E9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1"/>
  <rowBreaks count="2" manualBreakCount="2">
    <brk id="40" max="11" man="1"/>
    <brk id="1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Фролова</cp:lastModifiedBy>
  <cp:lastPrinted>2020-11-16T12:52:53Z</cp:lastPrinted>
  <dcterms:created xsi:type="dcterms:W3CDTF">2007-03-21T07:05:33Z</dcterms:created>
  <dcterms:modified xsi:type="dcterms:W3CDTF">2020-11-16T12:53:38Z</dcterms:modified>
  <cp:category/>
  <cp:version/>
  <cp:contentType/>
  <cp:contentStatus/>
</cp:coreProperties>
</file>